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180" windowWidth="16380" windowHeight="8010" tabRatio="940" firstSheet="1" activeTab="10"/>
  </bookViews>
  <sheets>
    <sheet name="Αρχική" sheetId="1" state="hidden" r:id="rId1"/>
    <sheet name="Γκρουπ Α" sheetId="2" r:id="rId2"/>
    <sheet name="Γκρουπ Β" sheetId="3" r:id="rId3"/>
    <sheet name="Γκρουπ Γ" sheetId="4" r:id="rId4"/>
    <sheet name="Γκρουπ Δ" sheetId="5" r:id="rId5"/>
    <sheet name="Γκρουπ Ε" sheetId="6" r:id="rId6"/>
    <sheet name="Γκρουπ ΣΤ" sheetId="7" r:id="rId7"/>
    <sheet name="Γκρουπ Ζ" sheetId="8" r:id="rId8"/>
    <sheet name="Γκρουπ Η" sheetId="9" r:id="rId9"/>
    <sheet name="Πρώτος Γύρος" sheetId="10" r:id="rId10"/>
    <sheet name="Νοκ - Αουτ" sheetId="11" r:id="rId11"/>
    <sheet name="Ομάδες" sheetId="12" state="hidden" r:id="rId12"/>
    <sheet name="Φύλλο1" sheetId="13" state="hidden" r:id="rId13"/>
    <sheet name="Ώρες" sheetId="14" state="hidden" r:id="rId14"/>
    <sheet name="Βοηθητικές θέσεις πίνακα" sheetId="15" state="hidden" r:id="rId15"/>
  </sheets>
  <definedNames>
    <definedName name="_xlnm._FilterDatabase" localSheetId="13" hidden="1">Ώρες!$B$19:$D$19</definedName>
    <definedName name="paises">Αρχική!$AA$5:$AA$17</definedName>
    <definedName name="Turno1">Ώρες!$N$4</definedName>
    <definedName name="Turno2">Ώρες!$N$5</definedName>
    <definedName name="Turno3">Ώρες!$N$6</definedName>
    <definedName name="Turno4">Ώρες!$N$7</definedName>
    <definedName name="Turno5">Ώρες!$N$8</definedName>
    <definedName name="Turno6">Ώρες!$N$9</definedName>
    <definedName name="Turno7">Ώρες!$N$10</definedName>
    <definedName name="Z_95E402C5_2143_4FCF_AAA0_B9B99670355B_.wvu.Cols" localSheetId="1" hidden="1">'Γκρουπ Α'!$E:$E</definedName>
    <definedName name="Z_95E402C5_2143_4FCF_AAA0_B9B99670355B_.wvu.Cols" localSheetId="2" hidden="1">'Γκρουπ Β'!$E:$E</definedName>
    <definedName name="Z_95E402C5_2143_4FCF_AAA0_B9B99670355B_.wvu.Cols" localSheetId="3" hidden="1">'Γκρουπ Γ'!$E:$E</definedName>
    <definedName name="Z_95E402C5_2143_4FCF_AAA0_B9B99670355B_.wvu.Cols" localSheetId="4" hidden="1">'Γκρουπ Δ'!$E:$E</definedName>
    <definedName name="Z_95E402C5_2143_4FCF_AAA0_B9B99670355B_.wvu.Cols" localSheetId="5" hidden="1">'Γκρουπ Ε'!$E:$E</definedName>
    <definedName name="Z_95E402C5_2143_4FCF_AAA0_B9B99670355B_.wvu.Cols" localSheetId="7" hidden="1">'Γκρουπ Ζ'!$E:$E</definedName>
    <definedName name="Z_95E402C5_2143_4FCF_AAA0_B9B99670355B_.wvu.Cols" localSheetId="8" hidden="1">'Γκρουπ Η'!$E:$E</definedName>
    <definedName name="Z_95E402C5_2143_4FCF_AAA0_B9B99670355B_.wvu.Cols" localSheetId="6" hidden="1">'Γκρουπ ΣΤ'!$E:$E</definedName>
    <definedName name="Z_95E402C5_2143_4FCF_AAA0_B9B99670355B_.wvu.Cols" localSheetId="9" hidden="1">'Πρώτος Γύρος'!$E:$E</definedName>
    <definedName name="Z_95E402C5_2143_4FCF_AAA0_B9B99670355B_.wvu.FilterData" localSheetId="13" hidden="1">Ώρες!$B$19:$D$19</definedName>
  </definedNames>
  <calcPr calcId="144525"/>
  <customWorkbookViews>
    <customWorkbookView name="IT - Personal View" guid="{95E402C5-2143-4FCF-AAA0-B9B99670355B}" mergeInterval="0" personalView="1" maximized="1" windowWidth="1362" windowHeight="542" tabRatio="940" activeSheetId="2"/>
  </customWorkbookViews>
</workbook>
</file>

<file path=xl/calcChain.xml><?xml version="1.0" encoding="utf-8"?>
<calcChain xmlns="http://schemas.openxmlformats.org/spreadsheetml/2006/main">
  <c r="N28" i="11" l="1"/>
  <c r="D17" i="3"/>
  <c r="K8" i="13"/>
  <c r="K9" i="13"/>
  <c r="B17" i="10"/>
  <c r="K7" i="13"/>
  <c r="K14" i="13"/>
  <c r="C17" i="10" l="1"/>
  <c r="D17" i="10"/>
  <c r="E17" i="10"/>
  <c r="F17" i="10"/>
  <c r="G17" i="10"/>
  <c r="H17" i="10"/>
  <c r="I17" i="10"/>
  <c r="C2" i="9" l="1"/>
  <c r="B2" i="9"/>
  <c r="C2" i="8"/>
  <c r="B2" i="8"/>
  <c r="C2" i="7"/>
  <c r="B2" i="7"/>
  <c r="C2" i="6"/>
  <c r="B2" i="6"/>
  <c r="C2" i="5"/>
  <c r="B2" i="5"/>
  <c r="C2" i="4"/>
  <c r="B2" i="4"/>
  <c r="C2" i="3"/>
  <c r="B2" i="3"/>
  <c r="E21" i="7" l="1"/>
  <c r="E18" i="7"/>
  <c r="E22" i="7"/>
  <c r="E19" i="7"/>
  <c r="E20" i="7"/>
  <c r="E17" i="7"/>
  <c r="F18" i="2"/>
  <c r="F21" i="2"/>
  <c r="F20" i="2"/>
  <c r="H20" i="2"/>
  <c r="F22" i="2"/>
  <c r="H19" i="2"/>
  <c r="H22" i="2"/>
  <c r="H21" i="2"/>
  <c r="F19" i="2"/>
  <c r="H18" i="2"/>
  <c r="H17" i="2"/>
  <c r="F17" i="2"/>
  <c r="I54" i="10" l="1"/>
  <c r="I55" i="10"/>
  <c r="I56" i="10"/>
  <c r="I57" i="10"/>
  <c r="I58" i="10"/>
  <c r="I53" i="10"/>
  <c r="I47" i="10"/>
  <c r="I48" i="10"/>
  <c r="I49" i="10"/>
  <c r="I50" i="10"/>
  <c r="I51" i="10"/>
  <c r="I46" i="10"/>
  <c r="I40" i="10"/>
  <c r="I41" i="10"/>
  <c r="I42" i="10"/>
  <c r="I43" i="10"/>
  <c r="I44" i="10"/>
  <c r="I39" i="10"/>
  <c r="I33" i="10"/>
  <c r="I34" i="10"/>
  <c r="I35" i="10"/>
  <c r="I36" i="10"/>
  <c r="I37" i="10"/>
  <c r="I32" i="10"/>
  <c r="I26" i="10"/>
  <c r="I27" i="10"/>
  <c r="I28" i="10"/>
  <c r="I29" i="10"/>
  <c r="I30" i="10"/>
  <c r="I25" i="10"/>
  <c r="I19" i="10"/>
  <c r="I20" i="10"/>
  <c r="I21" i="10"/>
  <c r="I22" i="10"/>
  <c r="I23" i="10"/>
  <c r="I18" i="10"/>
  <c r="I12" i="10"/>
  <c r="I13" i="10"/>
  <c r="I14" i="10"/>
  <c r="I15" i="10"/>
  <c r="I16" i="10"/>
  <c r="I11" i="10"/>
  <c r="G54" i="10"/>
  <c r="G55" i="10"/>
  <c r="G56" i="10"/>
  <c r="G57" i="10"/>
  <c r="G58" i="10"/>
  <c r="G47" i="10"/>
  <c r="G48" i="10"/>
  <c r="G49" i="10"/>
  <c r="G50" i="10"/>
  <c r="G51" i="10"/>
  <c r="G53" i="10"/>
  <c r="G46" i="10"/>
  <c r="G40" i="10"/>
  <c r="G41" i="10"/>
  <c r="G42" i="10"/>
  <c r="G43" i="10"/>
  <c r="G44" i="10"/>
  <c r="G39" i="10"/>
  <c r="G33" i="10"/>
  <c r="G34" i="10"/>
  <c r="G35" i="10"/>
  <c r="G36" i="10"/>
  <c r="G37" i="10"/>
  <c r="G32" i="10"/>
  <c r="G26" i="10"/>
  <c r="G27" i="10"/>
  <c r="G28" i="10"/>
  <c r="G29" i="10"/>
  <c r="G30" i="10"/>
  <c r="G25" i="10"/>
  <c r="G19" i="10"/>
  <c r="G20" i="10"/>
  <c r="G21" i="10"/>
  <c r="G22" i="10"/>
  <c r="G23" i="10"/>
  <c r="G18" i="10"/>
  <c r="G12" i="10"/>
  <c r="G13" i="10"/>
  <c r="G14" i="10"/>
  <c r="G15" i="10"/>
  <c r="G16" i="10"/>
  <c r="G11" i="10"/>
  <c r="G4" i="10"/>
  <c r="I5" i="10"/>
  <c r="I6" i="10"/>
  <c r="I7" i="10"/>
  <c r="I8" i="10"/>
  <c r="I9" i="10"/>
  <c r="I4" i="10"/>
  <c r="G5" i="10"/>
  <c r="G6" i="10"/>
  <c r="G7" i="10"/>
  <c r="G8" i="10"/>
  <c r="G9" i="10"/>
  <c r="C62" i="10"/>
  <c r="C52" i="10" l="1"/>
  <c r="D52" i="10"/>
  <c r="E52" i="10"/>
  <c r="F52" i="10"/>
  <c r="G52" i="10"/>
  <c r="H52" i="10"/>
  <c r="I52" i="10"/>
  <c r="B53" i="10"/>
  <c r="B54" i="10"/>
  <c r="B55" i="10"/>
  <c r="B56" i="10"/>
  <c r="B57" i="10"/>
  <c r="B58" i="10"/>
  <c r="B52" i="10"/>
  <c r="C45" i="10"/>
  <c r="D45" i="10"/>
  <c r="E45" i="10"/>
  <c r="F45" i="10"/>
  <c r="G45" i="10"/>
  <c r="H45" i="10"/>
  <c r="I45" i="10"/>
  <c r="B46" i="10"/>
  <c r="B47" i="10"/>
  <c r="B48" i="10"/>
  <c r="B49" i="10"/>
  <c r="B50" i="10"/>
  <c r="B51" i="10"/>
  <c r="B45" i="10"/>
  <c r="C38" i="10"/>
  <c r="D38" i="10"/>
  <c r="E38" i="10"/>
  <c r="F38" i="10"/>
  <c r="G38" i="10"/>
  <c r="H38" i="10"/>
  <c r="I38" i="10"/>
  <c r="B39" i="10"/>
  <c r="B40" i="10"/>
  <c r="B41" i="10"/>
  <c r="B42" i="10"/>
  <c r="B43" i="10"/>
  <c r="B44" i="10"/>
  <c r="B38" i="10"/>
  <c r="C31" i="10"/>
  <c r="D31" i="10"/>
  <c r="E31" i="10"/>
  <c r="F31" i="10"/>
  <c r="G31" i="10"/>
  <c r="H31" i="10"/>
  <c r="I31" i="10"/>
  <c r="B32" i="10"/>
  <c r="B33" i="10"/>
  <c r="B34" i="10"/>
  <c r="B35" i="10"/>
  <c r="B36" i="10"/>
  <c r="B37" i="10"/>
  <c r="B31" i="10"/>
  <c r="C24" i="10"/>
  <c r="D24" i="10"/>
  <c r="E24" i="10"/>
  <c r="F24" i="10"/>
  <c r="G24" i="10"/>
  <c r="H24" i="10"/>
  <c r="I24" i="10"/>
  <c r="B25" i="10"/>
  <c r="B26" i="10"/>
  <c r="B27" i="10"/>
  <c r="B28" i="10"/>
  <c r="B29" i="10"/>
  <c r="B30" i="10"/>
  <c r="B24" i="10"/>
  <c r="B18" i="10"/>
  <c r="B19" i="10"/>
  <c r="B20" i="10"/>
  <c r="B21" i="10"/>
  <c r="B22" i="10"/>
  <c r="B23" i="10"/>
  <c r="C10" i="10"/>
  <c r="D10" i="10"/>
  <c r="E10" i="10"/>
  <c r="F10" i="10"/>
  <c r="G10" i="10"/>
  <c r="H10" i="10"/>
  <c r="I10" i="10"/>
  <c r="B11" i="10"/>
  <c r="B12" i="10"/>
  <c r="B13" i="10"/>
  <c r="B14" i="10"/>
  <c r="B15" i="10"/>
  <c r="B16" i="10"/>
  <c r="B10" i="10"/>
  <c r="B9" i="10"/>
  <c r="F9" i="10"/>
  <c r="H9" i="10"/>
  <c r="I3" i="10"/>
  <c r="B4" i="10"/>
  <c r="F4" i="10"/>
  <c r="H4" i="10"/>
  <c r="B5" i="10"/>
  <c r="F5" i="10"/>
  <c r="H5" i="10"/>
  <c r="B6" i="10"/>
  <c r="F6" i="10"/>
  <c r="H6" i="10"/>
  <c r="B7" i="10"/>
  <c r="F7" i="10"/>
  <c r="H7" i="10"/>
  <c r="B8" i="10"/>
  <c r="F8" i="10"/>
  <c r="H8" i="10"/>
  <c r="C3" i="10"/>
  <c r="D3" i="10"/>
  <c r="E3" i="10"/>
  <c r="F3" i="10"/>
  <c r="G3" i="10"/>
  <c r="H3" i="10"/>
  <c r="B3" i="10"/>
  <c r="K4" i="10"/>
  <c r="L4" i="10"/>
  <c r="M4" i="10"/>
  <c r="N4" i="10"/>
  <c r="O4" i="10"/>
  <c r="P4" i="10"/>
  <c r="Q4" i="10"/>
  <c r="R4" i="10"/>
  <c r="B19" i="14" l="1"/>
  <c r="D19" i="14" s="1"/>
  <c r="H18" i="9" l="1"/>
  <c r="H54" i="10" s="1"/>
  <c r="H17" i="9"/>
  <c r="H53" i="10" s="1"/>
  <c r="F17" i="9"/>
  <c r="F53" i="10" s="1"/>
  <c r="F18" i="9"/>
  <c r="F54" i="10" s="1"/>
  <c r="H18" i="8"/>
  <c r="H47" i="10" s="1"/>
  <c r="H17" i="8"/>
  <c r="H46" i="10" s="1"/>
  <c r="F18" i="8"/>
  <c r="F47" i="10" s="1"/>
  <c r="F17" i="8"/>
  <c r="F46" i="10" s="1"/>
  <c r="K53" i="11"/>
  <c r="K27" i="11"/>
  <c r="H39" i="11"/>
  <c r="H15" i="11"/>
  <c r="E45" i="11"/>
  <c r="E33" i="11"/>
  <c r="E21" i="11"/>
  <c r="E9" i="11"/>
  <c r="B24" i="11"/>
  <c r="B18" i="11"/>
  <c r="B36" i="11"/>
  <c r="B30" i="11"/>
  <c r="B48" i="11"/>
  <c r="B42" i="11"/>
  <c r="B12" i="11"/>
  <c r="B6" i="11"/>
  <c r="D22" i="9"/>
  <c r="D58" i="10" s="1"/>
  <c r="D21" i="9"/>
  <c r="D57" i="10" s="1"/>
  <c r="D20" i="9"/>
  <c r="D56" i="10" s="1"/>
  <c r="D19" i="9"/>
  <c r="D55" i="10" s="1"/>
  <c r="D18" i="9"/>
  <c r="D54" i="10" s="1"/>
  <c r="D17" i="9"/>
  <c r="D53" i="10" s="1"/>
  <c r="D22" i="8"/>
  <c r="D51" i="10" s="1"/>
  <c r="D21" i="8"/>
  <c r="D50" i="10" s="1"/>
  <c r="D20" i="8"/>
  <c r="D49" i="10" s="1"/>
  <c r="D19" i="8"/>
  <c r="D48" i="10" s="1"/>
  <c r="D18" i="8"/>
  <c r="D47" i="10" s="1"/>
  <c r="D17" i="8"/>
  <c r="D46" i="10" s="1"/>
  <c r="D22" i="7"/>
  <c r="D44" i="10" s="1"/>
  <c r="D21" i="7"/>
  <c r="D43" i="10" s="1"/>
  <c r="D20" i="7"/>
  <c r="D42" i="10" s="1"/>
  <c r="D19" i="7"/>
  <c r="D41" i="10" s="1"/>
  <c r="D18" i="7"/>
  <c r="D40" i="10" s="1"/>
  <c r="D17" i="7"/>
  <c r="D39" i="10" s="1"/>
  <c r="D22" i="6"/>
  <c r="D37" i="10" s="1"/>
  <c r="D21" i="6"/>
  <c r="D36" i="10" s="1"/>
  <c r="D20" i="6"/>
  <c r="D35" i="10" s="1"/>
  <c r="D19" i="6"/>
  <c r="D34" i="10" s="1"/>
  <c r="D18" i="6"/>
  <c r="D33" i="10" s="1"/>
  <c r="D17" i="6"/>
  <c r="D32" i="10" s="1"/>
  <c r="D22" i="5"/>
  <c r="D30" i="10" s="1"/>
  <c r="D21" i="5"/>
  <c r="D29" i="10" s="1"/>
  <c r="D20" i="5"/>
  <c r="D28" i="10" s="1"/>
  <c r="D19" i="5"/>
  <c r="D27" i="10" s="1"/>
  <c r="D18" i="5"/>
  <c r="D26" i="10" s="1"/>
  <c r="D17" i="5"/>
  <c r="D25" i="10" s="1"/>
  <c r="D22" i="4"/>
  <c r="D23" i="10" s="1"/>
  <c r="D21" i="4"/>
  <c r="D22" i="10" s="1"/>
  <c r="D20" i="4"/>
  <c r="D21" i="10" s="1"/>
  <c r="D19" i="4"/>
  <c r="D20" i="10" s="1"/>
  <c r="D18" i="4"/>
  <c r="D19" i="10" s="1"/>
  <c r="D17" i="4"/>
  <c r="D18" i="10" s="1"/>
  <c r="D22" i="3"/>
  <c r="D16" i="10" s="1"/>
  <c r="D21" i="3"/>
  <c r="D15" i="10" s="1"/>
  <c r="D20" i="3"/>
  <c r="D14" i="10" s="1"/>
  <c r="D19" i="3"/>
  <c r="D13" i="10" s="1"/>
  <c r="D18" i="3"/>
  <c r="D12" i="10" s="1"/>
  <c r="D11" i="10"/>
  <c r="D22" i="2"/>
  <c r="D9" i="10" s="1"/>
  <c r="D21" i="2"/>
  <c r="D8" i="10" s="1"/>
  <c r="D20" i="2"/>
  <c r="D7" i="10" s="1"/>
  <c r="D19" i="2"/>
  <c r="D6" i="10" s="1"/>
  <c r="D18" i="2"/>
  <c r="D5" i="10" s="1"/>
  <c r="D17" i="2"/>
  <c r="D4" i="10" s="1"/>
  <c r="A8" i="15"/>
  <c r="A7" i="15"/>
  <c r="J7" i="15"/>
  <c r="J8" i="15"/>
  <c r="E8" i="15"/>
  <c r="E7" i="15"/>
  <c r="G8" i="15"/>
  <c r="G7" i="15"/>
  <c r="L53" i="15"/>
  <c r="L54" i="15"/>
  <c r="L55" i="15"/>
  <c r="L52" i="15"/>
  <c r="L46" i="15"/>
  <c r="L47" i="15"/>
  <c r="L48" i="15"/>
  <c r="L45" i="15"/>
  <c r="L39" i="15"/>
  <c r="L40" i="15"/>
  <c r="L41" i="15"/>
  <c r="L38" i="15"/>
  <c r="L32" i="15"/>
  <c r="L33" i="15"/>
  <c r="L34" i="15"/>
  <c r="L31" i="15"/>
  <c r="L25" i="15"/>
  <c r="L26" i="15"/>
  <c r="L27" i="15"/>
  <c r="L24" i="15"/>
  <c r="L18" i="15"/>
  <c r="L19" i="15"/>
  <c r="L20" i="15"/>
  <c r="L17" i="15"/>
  <c r="L4" i="15"/>
  <c r="L5" i="15"/>
  <c r="L6" i="15"/>
  <c r="L3" i="15"/>
  <c r="L11" i="15"/>
  <c r="L12" i="15"/>
  <c r="L13" i="15"/>
  <c r="L10" i="15"/>
  <c r="F55" i="15"/>
  <c r="F54" i="15"/>
  <c r="D55" i="15"/>
  <c r="D54" i="15"/>
  <c r="F53" i="15"/>
  <c r="F52" i="15"/>
  <c r="D53" i="15"/>
  <c r="D52" i="15"/>
  <c r="F46" i="15"/>
  <c r="F45" i="15"/>
  <c r="D46" i="15"/>
  <c r="D45" i="15"/>
  <c r="F41" i="15"/>
  <c r="F40" i="15"/>
  <c r="D41" i="15"/>
  <c r="D40" i="15"/>
  <c r="F36" i="15"/>
  <c r="F35" i="15"/>
  <c r="D36" i="15"/>
  <c r="D35" i="15"/>
  <c r="F20" i="15"/>
  <c r="F19" i="15"/>
  <c r="D20" i="15"/>
  <c r="D19" i="15"/>
  <c r="F14" i="15"/>
  <c r="F15" i="15"/>
  <c r="D15" i="15"/>
  <c r="D14" i="15"/>
  <c r="F13" i="15"/>
  <c r="F12" i="15"/>
  <c r="D13" i="15"/>
  <c r="D12" i="15"/>
  <c r="F8" i="15"/>
  <c r="F7" i="15"/>
  <c r="D8" i="15"/>
  <c r="D7" i="15"/>
  <c r="H20" i="9"/>
  <c r="H56" i="10" s="1"/>
  <c r="H19" i="9"/>
  <c r="H55" i="10" s="1"/>
  <c r="F20" i="9"/>
  <c r="F56" i="10" s="1"/>
  <c r="F21" i="9"/>
  <c r="F57" i="10" s="1"/>
  <c r="F19" i="9"/>
  <c r="F55" i="10" s="1"/>
  <c r="H20" i="7"/>
  <c r="H42" i="10" s="1"/>
  <c r="H19" i="7"/>
  <c r="H41" i="10" s="1"/>
  <c r="F19" i="7"/>
  <c r="F41" i="10" s="1"/>
  <c r="F20" i="7"/>
  <c r="F42" i="10" s="1"/>
  <c r="H22" i="6"/>
  <c r="H37" i="10" s="1"/>
  <c r="F22" i="6"/>
  <c r="F37" i="10" s="1"/>
  <c r="H21" i="6"/>
  <c r="H36" i="10" s="1"/>
  <c r="F21" i="6"/>
  <c r="F36" i="10" s="1"/>
  <c r="H20" i="4"/>
  <c r="H21" i="10" s="1"/>
  <c r="H19" i="4"/>
  <c r="H20" i="10" s="1"/>
  <c r="F20" i="4"/>
  <c r="F21" i="10" s="1"/>
  <c r="F19" i="4"/>
  <c r="F20" i="10" s="1"/>
  <c r="F21" i="4"/>
  <c r="F22" i="10" s="1"/>
  <c r="H18" i="3"/>
  <c r="H12" i="10" s="1"/>
  <c r="F18" i="3"/>
  <c r="F12" i="10" s="1"/>
  <c r="H22" i="3"/>
  <c r="H16" i="10" s="1"/>
  <c r="H21" i="3"/>
  <c r="H15" i="10" s="1"/>
  <c r="F22" i="3"/>
  <c r="F16" i="10" s="1"/>
  <c r="F21" i="3"/>
  <c r="F15" i="10" s="1"/>
  <c r="F19" i="3"/>
  <c r="F13" i="10" s="1"/>
  <c r="F20" i="3"/>
  <c r="F14" i="10" s="1"/>
  <c r="H19" i="3"/>
  <c r="H13" i="10" s="1"/>
  <c r="H20" i="3"/>
  <c r="H14" i="10" s="1"/>
  <c r="H17" i="3"/>
  <c r="H11" i="10" s="1"/>
  <c r="F17" i="3"/>
  <c r="F11" i="10" s="1"/>
  <c r="A3" i="15" l="1"/>
  <c r="D3" i="15"/>
  <c r="E3" i="15"/>
  <c r="F3" i="15"/>
  <c r="G3" i="15"/>
  <c r="J3" i="15"/>
  <c r="A4" i="15"/>
  <c r="D4" i="15"/>
  <c r="E4" i="15"/>
  <c r="F4" i="15"/>
  <c r="G4" i="15"/>
  <c r="J4" i="15"/>
  <c r="A5" i="15"/>
  <c r="D5" i="15"/>
  <c r="E5" i="15"/>
  <c r="F5" i="15"/>
  <c r="G5" i="15"/>
  <c r="I5" i="15" s="1"/>
  <c r="J5" i="15"/>
  <c r="A6" i="15"/>
  <c r="D6" i="15"/>
  <c r="E6" i="15"/>
  <c r="F6" i="15"/>
  <c r="G6" i="15"/>
  <c r="J6" i="15"/>
  <c r="B8" i="15"/>
  <c r="A10" i="15"/>
  <c r="D10" i="15"/>
  <c r="E10" i="15"/>
  <c r="F10" i="15"/>
  <c r="G10" i="15"/>
  <c r="J10" i="15"/>
  <c r="A11" i="15"/>
  <c r="D11" i="15"/>
  <c r="E11" i="15"/>
  <c r="F11" i="15"/>
  <c r="G11" i="15"/>
  <c r="J11" i="15"/>
  <c r="A12" i="15"/>
  <c r="E12" i="15"/>
  <c r="G12" i="15"/>
  <c r="J12" i="15"/>
  <c r="A13" i="15"/>
  <c r="E13" i="15"/>
  <c r="G13" i="15"/>
  <c r="J13" i="15"/>
  <c r="A14" i="15"/>
  <c r="E14" i="15"/>
  <c r="B14" i="15" s="1"/>
  <c r="G14" i="15"/>
  <c r="J14" i="15"/>
  <c r="M10" i="15" s="1"/>
  <c r="A15" i="15"/>
  <c r="E15" i="15"/>
  <c r="B15" i="15" s="1"/>
  <c r="G15" i="15"/>
  <c r="J15" i="15"/>
  <c r="A17" i="15"/>
  <c r="D17" i="15"/>
  <c r="E17" i="15"/>
  <c r="F17" i="15"/>
  <c r="G17" i="15"/>
  <c r="J17" i="15"/>
  <c r="A18" i="15"/>
  <c r="D18" i="15"/>
  <c r="E18" i="15"/>
  <c r="F18" i="15"/>
  <c r="G18" i="15"/>
  <c r="J18" i="15"/>
  <c r="A19" i="15"/>
  <c r="E19" i="15"/>
  <c r="B19" i="15" s="1"/>
  <c r="G19" i="15"/>
  <c r="J19" i="15"/>
  <c r="A20" i="15"/>
  <c r="E20" i="15"/>
  <c r="I20" i="15" s="1"/>
  <c r="G20" i="15"/>
  <c r="J20" i="15"/>
  <c r="A21" i="15"/>
  <c r="D21" i="15"/>
  <c r="E21" i="15"/>
  <c r="F21" i="15"/>
  <c r="G21" i="15"/>
  <c r="I21" i="15" s="1"/>
  <c r="J21" i="15"/>
  <c r="A22" i="15"/>
  <c r="D22" i="15"/>
  <c r="E22" i="15"/>
  <c r="B22" i="15" s="1"/>
  <c r="F22" i="15"/>
  <c r="G22" i="15"/>
  <c r="J22" i="15"/>
  <c r="A24" i="15"/>
  <c r="D24" i="15"/>
  <c r="E24" i="15"/>
  <c r="F24" i="15"/>
  <c r="G24" i="15"/>
  <c r="J24" i="15"/>
  <c r="A25" i="15"/>
  <c r="D25" i="15"/>
  <c r="E25" i="15"/>
  <c r="F25" i="15"/>
  <c r="G25" i="15"/>
  <c r="J25" i="15"/>
  <c r="A26" i="15"/>
  <c r="D26" i="15"/>
  <c r="E26" i="15"/>
  <c r="F26" i="15"/>
  <c r="G26" i="15"/>
  <c r="B26" i="15" s="1"/>
  <c r="J26" i="15"/>
  <c r="A27" i="15"/>
  <c r="D27" i="15"/>
  <c r="E27" i="15"/>
  <c r="H27" i="15" s="1"/>
  <c r="F27" i="15"/>
  <c r="G27" i="15"/>
  <c r="J27" i="15"/>
  <c r="A28" i="15"/>
  <c r="D28" i="15"/>
  <c r="E28" i="15"/>
  <c r="F28" i="15"/>
  <c r="G28" i="15"/>
  <c r="J28" i="15"/>
  <c r="A29" i="15"/>
  <c r="D29" i="15"/>
  <c r="E29" i="15"/>
  <c r="F29" i="15"/>
  <c r="G29" i="15"/>
  <c r="J29" i="15"/>
  <c r="A31" i="15"/>
  <c r="D31" i="15"/>
  <c r="E31" i="15"/>
  <c r="F31" i="15"/>
  <c r="G31" i="15"/>
  <c r="J31" i="15"/>
  <c r="A32" i="15"/>
  <c r="D32" i="15"/>
  <c r="E32" i="15"/>
  <c r="F32" i="15"/>
  <c r="G32" i="15"/>
  <c r="J32" i="15"/>
  <c r="A33" i="15"/>
  <c r="D33" i="15"/>
  <c r="E33" i="15"/>
  <c r="F33" i="15"/>
  <c r="G33" i="15"/>
  <c r="J33" i="15"/>
  <c r="A34" i="15"/>
  <c r="D34" i="15"/>
  <c r="E34" i="15"/>
  <c r="F34" i="15"/>
  <c r="G34" i="15"/>
  <c r="J34" i="15"/>
  <c r="A35" i="15"/>
  <c r="E35" i="15"/>
  <c r="C35" i="15" s="1"/>
  <c r="G35" i="15"/>
  <c r="J35" i="15"/>
  <c r="A36" i="15"/>
  <c r="E36" i="15"/>
  <c r="H36" i="15" s="1"/>
  <c r="G36" i="15"/>
  <c r="J36" i="15"/>
  <c r="A38" i="15"/>
  <c r="D38" i="15"/>
  <c r="E38" i="15"/>
  <c r="F38" i="15"/>
  <c r="G38" i="15"/>
  <c r="J38" i="15"/>
  <c r="A39" i="15"/>
  <c r="D39" i="15"/>
  <c r="E39" i="15"/>
  <c r="F39" i="15"/>
  <c r="G39" i="15"/>
  <c r="J39" i="15"/>
  <c r="A40" i="15"/>
  <c r="E40" i="15"/>
  <c r="I40" i="15" s="1"/>
  <c r="G40" i="15"/>
  <c r="J40" i="15"/>
  <c r="A41" i="15"/>
  <c r="E41" i="15"/>
  <c r="C41" i="15" s="1"/>
  <c r="G41" i="15"/>
  <c r="J41" i="15"/>
  <c r="A42" i="15"/>
  <c r="D42" i="15"/>
  <c r="E42" i="15"/>
  <c r="F42" i="15"/>
  <c r="G42" i="15"/>
  <c r="J42" i="15"/>
  <c r="A43" i="15"/>
  <c r="D43" i="15"/>
  <c r="E43" i="15"/>
  <c r="F43" i="15"/>
  <c r="G43" i="15"/>
  <c r="J43" i="15"/>
  <c r="A45" i="15"/>
  <c r="E45" i="15"/>
  <c r="G45" i="15"/>
  <c r="J45" i="15"/>
  <c r="A46" i="15"/>
  <c r="E46" i="15"/>
  <c r="G46" i="15"/>
  <c r="J46" i="15"/>
  <c r="A47" i="15"/>
  <c r="D47" i="15"/>
  <c r="E47" i="15"/>
  <c r="F47" i="15"/>
  <c r="G47" i="15"/>
  <c r="J47" i="15"/>
  <c r="A48" i="15"/>
  <c r="D48" i="15"/>
  <c r="E48" i="15"/>
  <c r="F48" i="15"/>
  <c r="G48" i="15"/>
  <c r="J48" i="15"/>
  <c r="A49" i="15"/>
  <c r="D49" i="15"/>
  <c r="E49" i="15"/>
  <c r="F49" i="15"/>
  <c r="G49" i="15"/>
  <c r="I49" i="15" s="1"/>
  <c r="J49" i="15"/>
  <c r="A50" i="15"/>
  <c r="D50" i="15"/>
  <c r="E50" i="15"/>
  <c r="F50" i="15"/>
  <c r="G50" i="15"/>
  <c r="J50" i="15"/>
  <c r="A52" i="15"/>
  <c r="E52" i="15"/>
  <c r="G52" i="15"/>
  <c r="I52" i="15"/>
  <c r="J52" i="15"/>
  <c r="A53" i="15"/>
  <c r="E53" i="15"/>
  <c r="G53" i="15"/>
  <c r="I53" i="15" s="1"/>
  <c r="J53" i="15"/>
  <c r="A54" i="15"/>
  <c r="E54" i="15"/>
  <c r="G54" i="15"/>
  <c r="B54" i="15" s="1"/>
  <c r="J54" i="15"/>
  <c r="A55" i="15"/>
  <c r="E55" i="15"/>
  <c r="G55" i="15"/>
  <c r="B55" i="15" s="1"/>
  <c r="J55" i="15"/>
  <c r="A56" i="15"/>
  <c r="D56" i="15"/>
  <c r="E56" i="15"/>
  <c r="C56" i="15" s="1"/>
  <c r="F56" i="15"/>
  <c r="G56" i="15"/>
  <c r="J56" i="15"/>
  <c r="A57" i="15"/>
  <c r="D57" i="15"/>
  <c r="E57" i="15"/>
  <c r="F57" i="15"/>
  <c r="G57" i="15"/>
  <c r="C57" i="15" s="1"/>
  <c r="J57" i="15"/>
  <c r="K10" i="13"/>
  <c r="K15" i="13"/>
  <c r="K16" i="13"/>
  <c r="K17" i="13"/>
  <c r="K21" i="13"/>
  <c r="K22" i="13"/>
  <c r="K23" i="13"/>
  <c r="K24" i="13"/>
  <c r="K28" i="13"/>
  <c r="K29" i="13"/>
  <c r="K30" i="13"/>
  <c r="K31" i="13"/>
  <c r="K35" i="13"/>
  <c r="K36" i="13"/>
  <c r="K37" i="13"/>
  <c r="K38" i="13"/>
  <c r="K42" i="13"/>
  <c r="K43" i="13"/>
  <c r="K44" i="13"/>
  <c r="K45" i="13"/>
  <c r="K49" i="13"/>
  <c r="K50" i="13"/>
  <c r="K51" i="13"/>
  <c r="K52" i="13"/>
  <c r="K56" i="13"/>
  <c r="K57" i="13"/>
  <c r="K58" i="13"/>
  <c r="K59" i="13"/>
  <c r="K2" i="14"/>
  <c r="H6" i="14"/>
  <c r="H7" i="14"/>
  <c r="D14" i="14"/>
  <c r="C19" i="14"/>
  <c r="C1" i="10"/>
  <c r="L16" i="2"/>
  <c r="N16" i="2"/>
  <c r="P16" i="2"/>
  <c r="R16" i="2"/>
  <c r="K11" i="10"/>
  <c r="L16" i="3" s="1"/>
  <c r="L11" i="10"/>
  <c r="M11" i="10"/>
  <c r="N16" i="3" s="1"/>
  <c r="N11" i="10"/>
  <c r="O11" i="10"/>
  <c r="P16" i="3" s="1"/>
  <c r="P11" i="10"/>
  <c r="Q11" i="10"/>
  <c r="R16" i="3" s="1"/>
  <c r="R11" i="10"/>
  <c r="K18" i="10"/>
  <c r="L16" i="4" s="1"/>
  <c r="L18" i="10"/>
  <c r="M18" i="10"/>
  <c r="N18" i="10"/>
  <c r="O18" i="10"/>
  <c r="P16" i="4" s="1"/>
  <c r="P18" i="10"/>
  <c r="Q18" i="10"/>
  <c r="R18" i="10"/>
  <c r="K25" i="10"/>
  <c r="L16" i="5" s="1"/>
  <c r="L25" i="10"/>
  <c r="M16" i="5" s="1"/>
  <c r="M25" i="10"/>
  <c r="N16" i="5" s="1"/>
  <c r="N25" i="10"/>
  <c r="O16" i="5" s="1"/>
  <c r="O25" i="10"/>
  <c r="P16" i="5" s="1"/>
  <c r="P25" i="10"/>
  <c r="Q16" i="5" s="1"/>
  <c r="Q25" i="10"/>
  <c r="R16" i="5" s="1"/>
  <c r="R25" i="10"/>
  <c r="S16" i="5" s="1"/>
  <c r="K32" i="10"/>
  <c r="L32" i="10"/>
  <c r="M32" i="10"/>
  <c r="N32" i="10"/>
  <c r="O32" i="10"/>
  <c r="P32" i="10"/>
  <c r="Q32" i="10"/>
  <c r="R32" i="10"/>
  <c r="K39" i="10"/>
  <c r="L16" i="7" s="1"/>
  <c r="L39" i="10"/>
  <c r="M16" i="7" s="1"/>
  <c r="M39" i="10"/>
  <c r="N16" i="7" s="1"/>
  <c r="N39" i="10"/>
  <c r="O16" i="7" s="1"/>
  <c r="O39" i="10"/>
  <c r="P16" i="7" s="1"/>
  <c r="P39" i="10"/>
  <c r="Q16" i="7" s="1"/>
  <c r="Q39" i="10"/>
  <c r="R16" i="7" s="1"/>
  <c r="R39" i="10"/>
  <c r="S16" i="7" s="1"/>
  <c r="K46" i="10"/>
  <c r="L16" i="8" s="1"/>
  <c r="L46" i="10"/>
  <c r="M46" i="10"/>
  <c r="N16" i="8" s="1"/>
  <c r="N46" i="10"/>
  <c r="O46" i="10"/>
  <c r="P16" i="8" s="1"/>
  <c r="P46" i="10"/>
  <c r="Q46" i="10"/>
  <c r="R46" i="10"/>
  <c r="K53" i="10"/>
  <c r="L16" i="9" s="1"/>
  <c r="L53" i="10"/>
  <c r="M16" i="9" s="1"/>
  <c r="M53" i="10"/>
  <c r="N16" i="9" s="1"/>
  <c r="N53" i="10"/>
  <c r="O16" i="9" s="1"/>
  <c r="O53" i="10"/>
  <c r="P16" i="9" s="1"/>
  <c r="P53" i="10"/>
  <c r="Q16" i="9" s="1"/>
  <c r="Q53" i="10"/>
  <c r="R16" i="9" s="1"/>
  <c r="R53" i="10"/>
  <c r="S16" i="9" s="1"/>
  <c r="Q23" i="9"/>
  <c r="T16" i="9"/>
  <c r="H21" i="9"/>
  <c r="H57" i="10" s="1"/>
  <c r="F22" i="9"/>
  <c r="F58" i="10" s="1"/>
  <c r="H22" i="9"/>
  <c r="H58" i="10" s="1"/>
  <c r="M16" i="8"/>
  <c r="O16" i="8"/>
  <c r="Q16" i="8"/>
  <c r="R16" i="8"/>
  <c r="S16" i="8"/>
  <c r="T16" i="8"/>
  <c r="F19" i="8"/>
  <c r="F48" i="10" s="1"/>
  <c r="H19" i="8"/>
  <c r="H48" i="10" s="1"/>
  <c r="F20" i="8"/>
  <c r="F49" i="10" s="1"/>
  <c r="H20" i="8"/>
  <c r="H49" i="10" s="1"/>
  <c r="F21" i="8"/>
  <c r="F50" i="10" s="1"/>
  <c r="H21" i="8"/>
  <c r="H50" i="10" s="1"/>
  <c r="F22" i="8"/>
  <c r="F51" i="10" s="1"/>
  <c r="H22" i="8"/>
  <c r="H51" i="10" s="1"/>
  <c r="Q23" i="7"/>
  <c r="T16" i="7"/>
  <c r="F17" i="7"/>
  <c r="F39" i="10" s="1"/>
  <c r="H17" i="7"/>
  <c r="H39" i="10" s="1"/>
  <c r="F18" i="7"/>
  <c r="F40" i="10" s="1"/>
  <c r="H18" i="7"/>
  <c r="H40" i="10" s="1"/>
  <c r="F21" i="7"/>
  <c r="F43" i="10" s="1"/>
  <c r="H21" i="7"/>
  <c r="H43" i="10" s="1"/>
  <c r="F22" i="7"/>
  <c r="F44" i="10" s="1"/>
  <c r="H22" i="7"/>
  <c r="H44" i="10" s="1"/>
  <c r="L16" i="6"/>
  <c r="M16" i="6"/>
  <c r="N16" i="6"/>
  <c r="O16" i="6"/>
  <c r="P16" i="6"/>
  <c r="Q16" i="6"/>
  <c r="R16" i="6"/>
  <c r="S16" i="6"/>
  <c r="T16" i="6"/>
  <c r="F17" i="6"/>
  <c r="F32" i="10" s="1"/>
  <c r="H17" i="6"/>
  <c r="H32" i="10" s="1"/>
  <c r="F18" i="6"/>
  <c r="F33" i="10" s="1"/>
  <c r="H18" i="6"/>
  <c r="H33" i="10" s="1"/>
  <c r="F19" i="6"/>
  <c r="F34" i="10" s="1"/>
  <c r="H19" i="6"/>
  <c r="H34" i="10" s="1"/>
  <c r="F20" i="6"/>
  <c r="F35" i="10" s="1"/>
  <c r="H20" i="6"/>
  <c r="H35" i="10" s="1"/>
  <c r="Q24" i="5"/>
  <c r="T16" i="5"/>
  <c r="F17" i="5"/>
  <c r="F25" i="10" s="1"/>
  <c r="H17" i="5"/>
  <c r="H25" i="10" s="1"/>
  <c r="F18" i="5"/>
  <c r="F26" i="10" s="1"/>
  <c r="H18" i="5"/>
  <c r="H26" i="10" s="1"/>
  <c r="F19" i="5"/>
  <c r="F27" i="10" s="1"/>
  <c r="H19" i="5"/>
  <c r="H27" i="10" s="1"/>
  <c r="F20" i="5"/>
  <c r="F28" i="10" s="1"/>
  <c r="H20" i="5"/>
  <c r="H28" i="10" s="1"/>
  <c r="F21" i="5"/>
  <c r="F29" i="10" s="1"/>
  <c r="H21" i="5"/>
  <c r="H29" i="10" s="1"/>
  <c r="F22" i="5"/>
  <c r="F30" i="10" s="1"/>
  <c r="H22" i="5"/>
  <c r="H30" i="10" s="1"/>
  <c r="M16" i="4"/>
  <c r="N16" i="4"/>
  <c r="O16" i="4"/>
  <c r="Q16" i="4"/>
  <c r="R16" i="4"/>
  <c r="S16" i="4"/>
  <c r="T16" i="4"/>
  <c r="F17" i="4"/>
  <c r="F18" i="10" s="1"/>
  <c r="H17" i="4"/>
  <c r="H18" i="10" s="1"/>
  <c r="F18" i="4"/>
  <c r="F19" i="10" s="1"/>
  <c r="H18" i="4"/>
  <c r="H19" i="10" s="1"/>
  <c r="H21" i="4"/>
  <c r="H22" i="10" s="1"/>
  <c r="F22" i="4"/>
  <c r="F23" i="10" s="1"/>
  <c r="H22" i="4"/>
  <c r="H23" i="10" s="1"/>
  <c r="Q23" i="3"/>
  <c r="M16" i="3"/>
  <c r="O16" i="3"/>
  <c r="Q16" i="3"/>
  <c r="S16" i="3"/>
  <c r="T16" i="3"/>
  <c r="B2" i="2"/>
  <c r="C2" i="2"/>
  <c r="M16" i="2"/>
  <c r="O16" i="2"/>
  <c r="Q16" i="2"/>
  <c r="S16" i="2"/>
  <c r="H43" i="15"/>
  <c r="I42" i="15"/>
  <c r="C42" i="15"/>
  <c r="H42" i="15"/>
  <c r="B40" i="15"/>
  <c r="H54" i="15"/>
  <c r="I47" i="15"/>
  <c r="C47" i="15"/>
  <c r="H47" i="15"/>
  <c r="H40" i="15"/>
  <c r="I33" i="15"/>
  <c r="C33" i="15"/>
  <c r="H33" i="15"/>
  <c r="C26" i="15"/>
  <c r="I18" i="15"/>
  <c r="C18" i="15"/>
  <c r="H18" i="15"/>
  <c r="C19" i="15"/>
  <c r="I6" i="15"/>
  <c r="B6" i="15"/>
  <c r="B34" i="15"/>
  <c r="C34" i="15"/>
  <c r="H34" i="15"/>
  <c r="B33" i="15"/>
  <c r="B27" i="15"/>
  <c r="B20" i="15"/>
  <c r="I19" i="15"/>
  <c r="I7" i="15"/>
  <c r="C7" i="15"/>
  <c r="H7" i="15"/>
  <c r="H14" i="15"/>
  <c r="H15" i="15"/>
  <c r="I36" i="15"/>
  <c r="C21" i="15"/>
  <c r="B41" i="15"/>
  <c r="B47" i="15"/>
  <c r="C48" i="15"/>
  <c r="H48" i="15"/>
  <c r="B48" i="15"/>
  <c r="H22" i="15"/>
  <c r="I28" i="15"/>
  <c r="B29" i="15"/>
  <c r="C29" i="15"/>
  <c r="H29" i="15"/>
  <c r="H28" i="15"/>
  <c r="B28" i="15"/>
  <c r="I43" i="15"/>
  <c r="C43" i="15"/>
  <c r="B43" i="15"/>
  <c r="B42" i="15"/>
  <c r="I56" i="15"/>
  <c r="C50" i="15"/>
  <c r="H50" i="15"/>
  <c r="B50" i="15"/>
  <c r="B49" i="15"/>
  <c r="C49" i="15"/>
  <c r="H49" i="15"/>
  <c r="I55" i="15" l="1"/>
  <c r="O53" i="15" s="1"/>
  <c r="N57" i="13" s="1"/>
  <c r="B56" i="15"/>
  <c r="I41" i="15"/>
  <c r="C40" i="15"/>
  <c r="H41" i="15"/>
  <c r="I39" i="15"/>
  <c r="H35" i="15"/>
  <c r="C36" i="15"/>
  <c r="B35" i="15"/>
  <c r="O34" i="15" s="1"/>
  <c r="N38" i="13" s="1"/>
  <c r="I32" i="15"/>
  <c r="I35" i="15"/>
  <c r="B36" i="15"/>
  <c r="I27" i="15"/>
  <c r="I13" i="15"/>
  <c r="C22" i="15"/>
  <c r="H21" i="15"/>
  <c r="C15" i="15"/>
  <c r="H19" i="15"/>
  <c r="N19" i="15" s="1"/>
  <c r="L23" i="13" s="1"/>
  <c r="C20" i="15"/>
  <c r="H55" i="15"/>
  <c r="I57" i="15"/>
  <c r="M13" i="15"/>
  <c r="I22" i="15"/>
  <c r="B21" i="15"/>
  <c r="C54" i="15"/>
  <c r="I54" i="15"/>
  <c r="C55" i="15"/>
  <c r="B57" i="15"/>
  <c r="H57" i="15"/>
  <c r="H26" i="15"/>
  <c r="H56" i="15"/>
  <c r="M55" i="15"/>
  <c r="I15" i="15"/>
  <c r="Q5" i="15"/>
  <c r="O9" i="13" s="1"/>
  <c r="H52" i="15"/>
  <c r="N53" i="15" s="1"/>
  <c r="L57" i="13" s="1"/>
  <c r="I46" i="15"/>
  <c r="O48" i="15" s="1"/>
  <c r="N52" i="13" s="1"/>
  <c r="O41" i="15"/>
  <c r="N45" i="13" s="1"/>
  <c r="H20" i="15"/>
  <c r="O55" i="15"/>
  <c r="N59" i="13" s="1"/>
  <c r="N6" i="14"/>
  <c r="N5" i="14"/>
  <c r="C18" i="2" s="1"/>
  <c r="C16" i="14"/>
  <c r="D16" i="14" s="1"/>
  <c r="B16" i="14" s="1"/>
  <c r="Q54" i="15"/>
  <c r="O58" i="13" s="1"/>
  <c r="R55" i="15"/>
  <c r="P59" i="13" s="1"/>
  <c r="M53" i="15"/>
  <c r="Q52" i="15"/>
  <c r="O56" i="13" s="1"/>
  <c r="R53" i="15"/>
  <c r="P57" i="13" s="1"/>
  <c r="Q57" i="13" s="1"/>
  <c r="B53" i="15"/>
  <c r="Q55" i="15"/>
  <c r="O59" i="13" s="1"/>
  <c r="Q59" i="13" s="1"/>
  <c r="R54" i="15"/>
  <c r="P58" i="13" s="1"/>
  <c r="M54" i="15"/>
  <c r="B52" i="15"/>
  <c r="O52" i="15" s="1"/>
  <c r="N56" i="13" s="1"/>
  <c r="Q53" i="15"/>
  <c r="O57" i="13" s="1"/>
  <c r="R52" i="15"/>
  <c r="P56" i="13" s="1"/>
  <c r="M52" i="15"/>
  <c r="Q47" i="15"/>
  <c r="O51" i="13" s="1"/>
  <c r="R48" i="15"/>
  <c r="P52" i="13" s="1"/>
  <c r="M46" i="15"/>
  <c r="Q45" i="15"/>
  <c r="O49" i="13" s="1"/>
  <c r="R46" i="15"/>
  <c r="P50" i="13" s="1"/>
  <c r="M48" i="15"/>
  <c r="Q48" i="15"/>
  <c r="O52" i="13" s="1"/>
  <c r="R47" i="15"/>
  <c r="P51" i="13" s="1"/>
  <c r="M47" i="15"/>
  <c r="I45" i="15"/>
  <c r="Q46" i="15"/>
  <c r="O50" i="13" s="1"/>
  <c r="R45" i="15"/>
  <c r="P49" i="13" s="1"/>
  <c r="M45" i="15"/>
  <c r="M39" i="15"/>
  <c r="M41" i="15"/>
  <c r="Q41" i="15"/>
  <c r="O45" i="13" s="1"/>
  <c r="R40" i="15"/>
  <c r="P44" i="13" s="1"/>
  <c r="Q40" i="15"/>
  <c r="O44" i="13" s="1"/>
  <c r="R41" i="15"/>
  <c r="P45" i="13" s="1"/>
  <c r="M40" i="15"/>
  <c r="I38" i="15"/>
  <c r="O39" i="15" s="1"/>
  <c r="N43" i="13" s="1"/>
  <c r="Q39" i="15"/>
  <c r="O43" i="13" s="1"/>
  <c r="R38" i="15"/>
  <c r="P42" i="13" s="1"/>
  <c r="Q38" i="15"/>
  <c r="O42" i="13" s="1"/>
  <c r="Q42" i="13" s="1"/>
  <c r="R39" i="15"/>
  <c r="P43" i="13" s="1"/>
  <c r="M38" i="15"/>
  <c r="M32" i="15"/>
  <c r="M34" i="15"/>
  <c r="Q34" i="15"/>
  <c r="O38" i="13" s="1"/>
  <c r="R33" i="15"/>
  <c r="P37" i="13" s="1"/>
  <c r="Q33" i="15"/>
  <c r="O37" i="13" s="1"/>
  <c r="R34" i="15"/>
  <c r="P38" i="13" s="1"/>
  <c r="M33" i="15"/>
  <c r="I31" i="15"/>
  <c r="Q32" i="15"/>
  <c r="O36" i="13" s="1"/>
  <c r="R31" i="15"/>
  <c r="P35" i="13" s="1"/>
  <c r="Q31" i="15"/>
  <c r="O35" i="13" s="1"/>
  <c r="R32" i="15"/>
  <c r="P36" i="13" s="1"/>
  <c r="M31" i="15"/>
  <c r="M27" i="15"/>
  <c r="Q27" i="15"/>
  <c r="O31" i="13" s="1"/>
  <c r="Q31" i="13" s="1"/>
  <c r="R26" i="15"/>
  <c r="P30" i="13" s="1"/>
  <c r="Q26" i="15"/>
  <c r="O30" i="13" s="1"/>
  <c r="R27" i="15"/>
  <c r="P31" i="13" s="1"/>
  <c r="M26" i="15"/>
  <c r="I24" i="15"/>
  <c r="O25" i="15" s="1"/>
  <c r="N29" i="13" s="1"/>
  <c r="Q25" i="15"/>
  <c r="O29" i="13" s="1"/>
  <c r="R24" i="15"/>
  <c r="P28" i="13" s="1"/>
  <c r="Q24" i="15"/>
  <c r="O28" i="13" s="1"/>
  <c r="Q28" i="13" s="1"/>
  <c r="R25" i="15"/>
  <c r="P29" i="13" s="1"/>
  <c r="M24" i="15"/>
  <c r="I25" i="15"/>
  <c r="O27" i="15" s="1"/>
  <c r="N31" i="13" s="1"/>
  <c r="M25" i="15"/>
  <c r="N20" i="15"/>
  <c r="L24" i="13" s="1"/>
  <c r="O20" i="15"/>
  <c r="N24" i="13" s="1"/>
  <c r="M20" i="15"/>
  <c r="M18" i="15"/>
  <c r="Q20" i="15"/>
  <c r="O24" i="13" s="1"/>
  <c r="R19" i="15"/>
  <c r="P23" i="13" s="1"/>
  <c r="Q19" i="15"/>
  <c r="O23" i="13" s="1"/>
  <c r="R20" i="15"/>
  <c r="P24" i="13" s="1"/>
  <c r="M19" i="15"/>
  <c r="I17" i="15"/>
  <c r="O18" i="15" s="1"/>
  <c r="N22" i="13" s="1"/>
  <c r="Q18" i="15"/>
  <c r="O22" i="13" s="1"/>
  <c r="R17" i="15"/>
  <c r="P21" i="13" s="1"/>
  <c r="Q17" i="15"/>
  <c r="O21" i="13" s="1"/>
  <c r="R18" i="15"/>
  <c r="P22" i="13" s="1"/>
  <c r="M17" i="15"/>
  <c r="R12" i="15"/>
  <c r="P16" i="13" s="1"/>
  <c r="Q12" i="15"/>
  <c r="O16" i="13" s="1"/>
  <c r="M12" i="15"/>
  <c r="I10" i="15"/>
  <c r="Q11" i="15"/>
  <c r="O15" i="13" s="1"/>
  <c r="R11" i="15"/>
  <c r="P15" i="13" s="1"/>
  <c r="I12" i="15"/>
  <c r="I11" i="15"/>
  <c r="M11" i="15"/>
  <c r="R13" i="15"/>
  <c r="P17" i="13" s="1"/>
  <c r="Q10" i="15"/>
  <c r="O14" i="13" s="1"/>
  <c r="R10" i="15"/>
  <c r="P14" i="13" s="1"/>
  <c r="Q13" i="15"/>
  <c r="O17" i="13" s="1"/>
  <c r="Q17" i="13" s="1"/>
  <c r="N4" i="14"/>
  <c r="N10" i="14"/>
  <c r="N7" i="14"/>
  <c r="N9" i="14"/>
  <c r="N8" i="14"/>
  <c r="C19" i="2" s="1"/>
  <c r="Q6" i="15"/>
  <c r="O10" i="13" s="1"/>
  <c r="R4" i="15"/>
  <c r="P8" i="13" s="1"/>
  <c r="I3" i="15"/>
  <c r="O4" i="15" s="1"/>
  <c r="N8" i="13" s="1"/>
  <c r="R3" i="15"/>
  <c r="P7" i="13" s="1"/>
  <c r="Q4" i="15"/>
  <c r="O8" i="13" s="1"/>
  <c r="M3" i="15"/>
  <c r="M4" i="15"/>
  <c r="Q3" i="15"/>
  <c r="O7" i="13" s="1"/>
  <c r="Q7" i="13" s="1"/>
  <c r="R5" i="15"/>
  <c r="P9" i="13" s="1"/>
  <c r="M6" i="15"/>
  <c r="M5" i="15"/>
  <c r="R6" i="15"/>
  <c r="P10" i="13" s="1"/>
  <c r="H6" i="15"/>
  <c r="C6" i="15"/>
  <c r="I4" i="15"/>
  <c r="Q56" i="13"/>
  <c r="H53" i="15"/>
  <c r="C52" i="15"/>
  <c r="N52" i="15" s="1"/>
  <c r="L56" i="13" s="1"/>
  <c r="C53" i="15"/>
  <c r="I48" i="15"/>
  <c r="B45" i="15"/>
  <c r="O45" i="15" s="1"/>
  <c r="N49" i="13" s="1"/>
  <c r="I50" i="15"/>
  <c r="B46" i="15"/>
  <c r="C46" i="15"/>
  <c r="N47" i="15" s="1"/>
  <c r="L51" i="13" s="1"/>
  <c r="C45" i="15"/>
  <c r="N45" i="15" s="1"/>
  <c r="L49" i="13" s="1"/>
  <c r="H46" i="15"/>
  <c r="N48" i="15" s="1"/>
  <c r="L52" i="13" s="1"/>
  <c r="H45" i="15"/>
  <c r="N46" i="15" s="1"/>
  <c r="L50" i="13" s="1"/>
  <c r="C39" i="15"/>
  <c r="N40" i="15" s="1"/>
  <c r="L44" i="13" s="1"/>
  <c r="C38" i="15"/>
  <c r="N38" i="15" s="1"/>
  <c r="L42" i="13" s="1"/>
  <c r="H38" i="15"/>
  <c r="N39" i="15" s="1"/>
  <c r="L43" i="13" s="1"/>
  <c r="B38" i="15"/>
  <c r="H39" i="15"/>
  <c r="N41" i="15" s="1"/>
  <c r="L45" i="13" s="1"/>
  <c r="B39" i="15"/>
  <c r="O40" i="15" s="1"/>
  <c r="N44" i="13" s="1"/>
  <c r="I34" i="15"/>
  <c r="B31" i="15"/>
  <c r="O31" i="15" s="1"/>
  <c r="N35" i="13" s="1"/>
  <c r="B32" i="15"/>
  <c r="O33" i="15" s="1"/>
  <c r="N37" i="13" s="1"/>
  <c r="C32" i="15"/>
  <c r="N33" i="15" s="1"/>
  <c r="L37" i="13" s="1"/>
  <c r="C31" i="15"/>
  <c r="N31" i="15" s="1"/>
  <c r="L35" i="13" s="1"/>
  <c r="H32" i="15"/>
  <c r="N34" i="15" s="1"/>
  <c r="L38" i="13" s="1"/>
  <c r="H31" i="15"/>
  <c r="N32" i="15" s="1"/>
  <c r="L36" i="13" s="1"/>
  <c r="I29" i="15"/>
  <c r="C28" i="15"/>
  <c r="I26" i="15"/>
  <c r="B24" i="15"/>
  <c r="O24" i="15" s="1"/>
  <c r="N28" i="13" s="1"/>
  <c r="C27" i="15"/>
  <c r="B25" i="15"/>
  <c r="C25" i="15"/>
  <c r="C24" i="15"/>
  <c r="N24" i="15" s="1"/>
  <c r="L28" i="13" s="1"/>
  <c r="H25" i="15"/>
  <c r="H24" i="15"/>
  <c r="N25" i="15" s="1"/>
  <c r="L29" i="13" s="1"/>
  <c r="B17" i="15"/>
  <c r="O17" i="15" s="1"/>
  <c r="N21" i="13" s="1"/>
  <c r="B18" i="15"/>
  <c r="O19" i="15" s="1"/>
  <c r="N23" i="13" s="1"/>
  <c r="C17" i="15"/>
  <c r="N17" i="15" s="1"/>
  <c r="L21" i="13" s="1"/>
  <c r="H17" i="15"/>
  <c r="N18" i="15" s="1"/>
  <c r="L22" i="13" s="1"/>
  <c r="I14" i="15"/>
  <c r="B12" i="15"/>
  <c r="B10" i="15"/>
  <c r="B13" i="15"/>
  <c r="B11" i="15"/>
  <c r="C13" i="15"/>
  <c r="C12" i="15"/>
  <c r="C11" i="15"/>
  <c r="C10" i="15"/>
  <c r="C14" i="15"/>
  <c r="Q16" i="13"/>
  <c r="H13" i="15"/>
  <c r="H12" i="15"/>
  <c r="H11" i="15"/>
  <c r="H10" i="15"/>
  <c r="H8" i="15"/>
  <c r="I8" i="15"/>
  <c r="C8" i="15"/>
  <c r="B7" i="15"/>
  <c r="C4" i="15"/>
  <c r="C5" i="15"/>
  <c r="C3" i="15"/>
  <c r="H5" i="15"/>
  <c r="B5" i="15"/>
  <c r="H4" i="15"/>
  <c r="B4" i="15"/>
  <c r="H3" i="15"/>
  <c r="B3" i="15"/>
  <c r="O3" i="15" s="1"/>
  <c r="N7" i="13" s="1"/>
  <c r="Q24" i="7"/>
  <c r="Q22" i="7" s="1"/>
  <c r="Q24" i="3"/>
  <c r="Q22" i="3" s="1"/>
  <c r="Q23" i="8"/>
  <c r="Q23" i="5"/>
  <c r="Q22" i="5" s="1"/>
  <c r="Q23" i="2"/>
  <c r="Q24" i="4"/>
  <c r="Q24" i="9"/>
  <c r="Q22" i="9" s="1"/>
  <c r="Q23" i="4"/>
  <c r="Q24" i="2"/>
  <c r="Q24" i="8"/>
  <c r="Q24" i="6"/>
  <c r="Q23" i="6"/>
  <c r="N55" i="15" l="1"/>
  <c r="L59" i="13" s="1"/>
  <c r="N54" i="15"/>
  <c r="L58" i="13" s="1"/>
  <c r="Q35" i="13"/>
  <c r="Q23" i="13"/>
  <c r="Q14" i="13"/>
  <c r="O11" i="15"/>
  <c r="N15" i="13" s="1"/>
  <c r="O12" i="15"/>
  <c r="N16" i="13" s="1"/>
  <c r="N3" i="15"/>
  <c r="N10" i="15"/>
  <c r="L14" i="13" s="1"/>
  <c r="N26" i="15"/>
  <c r="L30" i="13" s="1"/>
  <c r="Q9" i="13"/>
  <c r="Q8" i="13"/>
  <c r="O54" i="15"/>
  <c r="N58" i="13" s="1"/>
  <c r="N6" i="15"/>
  <c r="L10" i="13" s="1"/>
  <c r="O26" i="15"/>
  <c r="N30" i="13" s="1"/>
  <c r="O47" i="15"/>
  <c r="N51" i="13" s="1"/>
  <c r="Q21" i="13"/>
  <c r="Q29" i="13"/>
  <c r="Q30" i="13"/>
  <c r="Q36" i="13"/>
  <c r="Q37" i="13"/>
  <c r="Q50" i="13"/>
  <c r="Q52" i="13"/>
  <c r="C20" i="2"/>
  <c r="E20" i="2" s="1"/>
  <c r="E7" i="10" s="1"/>
  <c r="C21" i="2"/>
  <c r="C17" i="2"/>
  <c r="C22" i="2"/>
  <c r="N11" i="15"/>
  <c r="L15" i="13" s="1"/>
  <c r="N27" i="15"/>
  <c r="L31" i="13" s="1"/>
  <c r="P20" i="15"/>
  <c r="M24" i="13" s="1"/>
  <c r="Q43" i="13"/>
  <c r="Q45" i="13"/>
  <c r="O13" i="15"/>
  <c r="N17" i="13" s="1"/>
  <c r="E19" i="2"/>
  <c r="E6" i="10" s="1"/>
  <c r="O6" i="15"/>
  <c r="N10" i="13" s="1"/>
  <c r="E17" i="9"/>
  <c r="E53" i="10" s="1"/>
  <c r="C53" i="10"/>
  <c r="E41" i="10"/>
  <c r="C41" i="10"/>
  <c r="E18" i="5"/>
  <c r="E26" i="10" s="1"/>
  <c r="C26" i="10"/>
  <c r="C6" i="10"/>
  <c r="O5" i="15"/>
  <c r="N9" i="13" s="1"/>
  <c r="Q10" i="13"/>
  <c r="Q22" i="8"/>
  <c r="Q44" i="13"/>
  <c r="P54" i="15"/>
  <c r="M58" i="13" s="1"/>
  <c r="S58" i="13" s="1"/>
  <c r="P55" i="15"/>
  <c r="M59" i="13" s="1"/>
  <c r="R59" i="13" s="1"/>
  <c r="W59" i="13" s="1"/>
  <c r="P52" i="15"/>
  <c r="M56" i="13" s="1"/>
  <c r="P53" i="15"/>
  <c r="M57" i="13" s="1"/>
  <c r="R57" i="13" s="1"/>
  <c r="W57" i="13" s="1"/>
  <c r="Q58" i="13"/>
  <c r="O46" i="15"/>
  <c r="N50" i="13" s="1"/>
  <c r="P48" i="15"/>
  <c r="M52" i="13" s="1"/>
  <c r="Q49" i="13"/>
  <c r="P45" i="15"/>
  <c r="M49" i="13" s="1"/>
  <c r="R49" i="13" s="1"/>
  <c r="Q51" i="13"/>
  <c r="O38" i="15"/>
  <c r="N42" i="13" s="1"/>
  <c r="P40" i="15"/>
  <c r="M44" i="13" s="1"/>
  <c r="P39" i="15"/>
  <c r="M43" i="13" s="1"/>
  <c r="R43" i="13" s="1"/>
  <c r="W43" i="13" s="1"/>
  <c r="P41" i="15"/>
  <c r="M45" i="13" s="1"/>
  <c r="O32" i="15"/>
  <c r="N36" i="13" s="1"/>
  <c r="P34" i="15"/>
  <c r="M38" i="13" s="1"/>
  <c r="P31" i="15"/>
  <c r="M35" i="13" s="1"/>
  <c r="P33" i="15"/>
  <c r="M37" i="13" s="1"/>
  <c r="Q38" i="13"/>
  <c r="P25" i="15"/>
  <c r="M29" i="13" s="1"/>
  <c r="P24" i="15"/>
  <c r="M28" i="13" s="1"/>
  <c r="P26" i="15"/>
  <c r="M30" i="13" s="1"/>
  <c r="R30" i="13" s="1"/>
  <c r="P27" i="15"/>
  <c r="M31" i="13" s="1"/>
  <c r="P17" i="15"/>
  <c r="M21" i="13" s="1"/>
  <c r="S21" i="13" s="1"/>
  <c r="Q22" i="13"/>
  <c r="P19" i="15"/>
  <c r="M23" i="13" s="1"/>
  <c r="R23" i="13" s="1"/>
  <c r="W23" i="13" s="1"/>
  <c r="Q24" i="13"/>
  <c r="P18" i="15"/>
  <c r="M22" i="13" s="1"/>
  <c r="O10" i="15"/>
  <c r="N14" i="13" s="1"/>
  <c r="N13" i="15"/>
  <c r="L17" i="13" s="1"/>
  <c r="N12" i="15"/>
  <c r="L16" i="13" s="1"/>
  <c r="P11" i="15"/>
  <c r="M15" i="13" s="1"/>
  <c r="R15" i="13" s="1"/>
  <c r="W15" i="13" s="1"/>
  <c r="P3" i="15"/>
  <c r="M7" i="13" s="1"/>
  <c r="L7" i="13"/>
  <c r="N4" i="15"/>
  <c r="P4" i="15" s="1"/>
  <c r="M8" i="13" s="1"/>
  <c r="N5" i="15"/>
  <c r="L9" i="13" s="1"/>
  <c r="S57" i="13"/>
  <c r="R56" i="13"/>
  <c r="S56" i="13"/>
  <c r="R58" i="13"/>
  <c r="W58" i="13" s="1"/>
  <c r="S35" i="13"/>
  <c r="S37" i="13"/>
  <c r="R28" i="13"/>
  <c r="S23" i="13"/>
  <c r="Q15" i="13"/>
  <c r="Q22" i="6"/>
  <c r="Q22" i="4"/>
  <c r="Q22" i="2"/>
  <c r="S59" i="13" l="1"/>
  <c r="S30" i="13"/>
  <c r="P12" i="15"/>
  <c r="M16" i="13" s="1"/>
  <c r="R16" i="13" s="1"/>
  <c r="W16" i="13" s="1"/>
  <c r="P6" i="15"/>
  <c r="M10" i="13" s="1"/>
  <c r="C7" i="10"/>
  <c r="P47" i="15"/>
  <c r="M51" i="13" s="1"/>
  <c r="R51" i="13" s="1"/>
  <c r="W51" i="13" s="1"/>
  <c r="P10" i="15"/>
  <c r="M14" i="13" s="1"/>
  <c r="R14" i="13" s="1"/>
  <c r="S14" i="13" s="1"/>
  <c r="S24" i="13"/>
  <c r="R24" i="13"/>
  <c r="W24" i="13" s="1"/>
  <c r="P13" i="15"/>
  <c r="M17" i="13" s="1"/>
  <c r="P32" i="15"/>
  <c r="M36" i="13" s="1"/>
  <c r="P5" i="15"/>
  <c r="M9" i="13" s="1"/>
  <c r="R9" i="13" s="1"/>
  <c r="W9" i="13" s="1"/>
  <c r="E22" i="3"/>
  <c r="E16" i="10" s="1"/>
  <c r="C16" i="10"/>
  <c r="E21" i="2"/>
  <c r="E8" i="10" s="1"/>
  <c r="C8" i="10"/>
  <c r="E42" i="10"/>
  <c r="C42" i="10"/>
  <c r="E17" i="4"/>
  <c r="E18" i="10" s="1"/>
  <c r="C18" i="10"/>
  <c r="E21" i="3"/>
  <c r="E15" i="10" s="1"/>
  <c r="C15" i="10"/>
  <c r="E22" i="2"/>
  <c r="E9" i="10" s="1"/>
  <c r="C9" i="10"/>
  <c r="E18" i="4"/>
  <c r="E19" i="10" s="1"/>
  <c r="C19" i="10"/>
  <c r="E19" i="6"/>
  <c r="E34" i="10" s="1"/>
  <c r="C34" i="10"/>
  <c r="E44" i="10"/>
  <c r="C44" i="10"/>
  <c r="E20" i="9"/>
  <c r="E56" i="10" s="1"/>
  <c r="C56" i="10"/>
  <c r="E22" i="4"/>
  <c r="E23" i="10" s="1"/>
  <c r="C23" i="10"/>
  <c r="E17" i="2"/>
  <c r="E4" i="10" s="1"/>
  <c r="C4" i="10"/>
  <c r="E18" i="8"/>
  <c r="E47" i="10" s="1"/>
  <c r="C47" i="10"/>
  <c r="E20" i="4"/>
  <c r="E21" i="10" s="1"/>
  <c r="C21" i="10"/>
  <c r="E19" i="8"/>
  <c r="E48" i="10" s="1"/>
  <c r="C48" i="10"/>
  <c r="E20" i="8"/>
  <c r="E49" i="10" s="1"/>
  <c r="C49" i="10"/>
  <c r="E19" i="4"/>
  <c r="E20" i="10" s="1"/>
  <c r="C20" i="10"/>
  <c r="E22" i="8"/>
  <c r="E51" i="10" s="1"/>
  <c r="C51" i="10"/>
  <c r="E43" i="10"/>
  <c r="C43" i="10"/>
  <c r="E21" i="6"/>
  <c r="E36" i="10" s="1"/>
  <c r="C36" i="10"/>
  <c r="E22" i="6"/>
  <c r="E37" i="10" s="1"/>
  <c r="C37" i="10"/>
  <c r="E18" i="3"/>
  <c r="E12" i="10" s="1"/>
  <c r="C12" i="10"/>
  <c r="E19" i="9"/>
  <c r="E55" i="10" s="1"/>
  <c r="C55" i="10"/>
  <c r="E20" i="6"/>
  <c r="E35" i="10" s="1"/>
  <c r="C35" i="10"/>
  <c r="E18" i="6"/>
  <c r="E33" i="10" s="1"/>
  <c r="C33" i="10"/>
  <c r="E19" i="5"/>
  <c r="E27" i="10" s="1"/>
  <c r="C27" i="10"/>
  <c r="E20" i="3"/>
  <c r="E14" i="10" s="1"/>
  <c r="C14" i="10"/>
  <c r="E22" i="5"/>
  <c r="E30" i="10" s="1"/>
  <c r="C30" i="10"/>
  <c r="E21" i="8"/>
  <c r="E50" i="10" s="1"/>
  <c r="C50" i="10"/>
  <c r="E40" i="10"/>
  <c r="C40" i="10"/>
  <c r="E21" i="5"/>
  <c r="E29" i="10" s="1"/>
  <c r="C29" i="10"/>
  <c r="E21" i="4"/>
  <c r="E22" i="10" s="1"/>
  <c r="C22" i="10"/>
  <c r="E20" i="5"/>
  <c r="E28" i="10" s="1"/>
  <c r="C28" i="10"/>
  <c r="E18" i="2"/>
  <c r="E5" i="10" s="1"/>
  <c r="C5" i="10"/>
  <c r="E17" i="8"/>
  <c r="E46" i="10" s="1"/>
  <c r="C46" i="10"/>
  <c r="E21" i="9"/>
  <c r="E57" i="10" s="1"/>
  <c r="C57" i="10"/>
  <c r="E22" i="9"/>
  <c r="E58" i="10" s="1"/>
  <c r="C58" i="10"/>
  <c r="E39" i="10"/>
  <c r="C39" i="10"/>
  <c r="E19" i="3"/>
  <c r="E13" i="10" s="1"/>
  <c r="C13" i="10"/>
  <c r="E18" i="9"/>
  <c r="E54" i="10" s="1"/>
  <c r="C54" i="10"/>
  <c r="E17" i="3"/>
  <c r="E11" i="10" s="1"/>
  <c r="C11" i="10"/>
  <c r="E17" i="5"/>
  <c r="E25" i="10" s="1"/>
  <c r="C25" i="10"/>
  <c r="E17" i="6"/>
  <c r="E32" i="10" s="1"/>
  <c r="C32" i="10"/>
  <c r="L8" i="13"/>
  <c r="R8" i="13" s="1"/>
  <c r="W8" i="13" s="1"/>
  <c r="P46" i="15"/>
  <c r="M50" i="13" s="1"/>
  <c r="S50" i="13" s="1"/>
  <c r="P38" i="15"/>
  <c r="M42" i="13" s="1"/>
  <c r="R42" i="13" s="1"/>
  <c r="W42" i="13" s="1"/>
  <c r="R7" i="13"/>
  <c r="T57" i="13"/>
  <c r="U57" i="13" s="1"/>
  <c r="W56" i="13"/>
  <c r="X57" i="13" s="1"/>
  <c r="T59" i="13"/>
  <c r="U59" i="13" s="1"/>
  <c r="T58" i="13"/>
  <c r="U58" i="13" s="1"/>
  <c r="T56" i="13"/>
  <c r="U56" i="13" s="1"/>
  <c r="W49" i="13"/>
  <c r="R50" i="13"/>
  <c r="W50" i="13" s="1"/>
  <c r="S52" i="13"/>
  <c r="R52" i="13"/>
  <c r="W52" i="13" s="1"/>
  <c r="R45" i="13"/>
  <c r="S45" i="13"/>
  <c r="R44" i="13"/>
  <c r="S44" i="13"/>
  <c r="R37" i="13"/>
  <c r="W37" i="13" s="1"/>
  <c r="R38" i="13"/>
  <c r="W38" i="13" s="1"/>
  <c r="S38" i="13"/>
  <c r="R35" i="13"/>
  <c r="R36" i="13"/>
  <c r="W36" i="13" s="1"/>
  <c r="S36" i="13"/>
  <c r="W28" i="13"/>
  <c r="W30" i="13"/>
  <c r="S28" i="13"/>
  <c r="R31" i="13"/>
  <c r="S31" i="13"/>
  <c r="R29" i="13"/>
  <c r="S29" i="13"/>
  <c r="R21" i="13"/>
  <c r="W21" i="13" s="1"/>
  <c r="X23" i="13" s="1"/>
  <c r="S22" i="13"/>
  <c r="R22" i="13"/>
  <c r="W22" i="13" s="1"/>
  <c r="T21" i="13"/>
  <c r="U21" i="13" s="1"/>
  <c r="T22" i="13"/>
  <c r="S15" i="13"/>
  <c r="S16" i="13"/>
  <c r="R17" i="13"/>
  <c r="W17" i="13" s="1"/>
  <c r="R10" i="13"/>
  <c r="W10" i="13" s="1"/>
  <c r="W7" i="13"/>
  <c r="T24" i="13" l="1"/>
  <c r="U24" i="13" s="1"/>
  <c r="T23" i="13"/>
  <c r="U23" i="13" s="1"/>
  <c r="X52" i="13"/>
  <c r="X22" i="13"/>
  <c r="S51" i="13"/>
  <c r="S49" i="13"/>
  <c r="V56" i="13"/>
  <c r="S17" i="13"/>
  <c r="V58" i="13"/>
  <c r="V59" i="13"/>
  <c r="V57" i="13"/>
  <c r="X56" i="13"/>
  <c r="X59" i="13"/>
  <c r="X58" i="13"/>
  <c r="X51" i="13"/>
  <c r="X50" i="13"/>
  <c r="T49" i="13"/>
  <c r="T50" i="13"/>
  <c r="U50" i="13" s="1"/>
  <c r="X49" i="13"/>
  <c r="T52" i="13"/>
  <c r="U52" i="13" s="1"/>
  <c r="T51" i="13"/>
  <c r="U51" i="13" s="1"/>
  <c r="W44" i="13"/>
  <c r="T44" i="13"/>
  <c r="U44" i="13" s="1"/>
  <c r="S43" i="13"/>
  <c r="S42" i="13"/>
  <c r="T43" i="13"/>
  <c r="T42" i="13"/>
  <c r="W45" i="13"/>
  <c r="T45" i="13"/>
  <c r="U45" i="13" s="1"/>
  <c r="W35" i="13"/>
  <c r="X38" i="13" s="1"/>
  <c r="T37" i="13"/>
  <c r="U37" i="13" s="1"/>
  <c r="T38" i="13"/>
  <c r="U38" i="13" s="1"/>
  <c r="T36" i="13"/>
  <c r="U36" i="13" s="1"/>
  <c r="T35" i="13"/>
  <c r="U35" i="13" s="1"/>
  <c r="T29" i="13"/>
  <c r="U29" i="13" s="1"/>
  <c r="W29" i="13"/>
  <c r="T31" i="13"/>
  <c r="U31" i="13" s="1"/>
  <c r="W31" i="13"/>
  <c r="X31" i="13" s="1"/>
  <c r="T30" i="13"/>
  <c r="U30" i="13" s="1"/>
  <c r="T28" i="13"/>
  <c r="U28" i="13" s="1"/>
  <c r="X24" i="13"/>
  <c r="X21" i="13"/>
  <c r="U22" i="13"/>
  <c r="W14" i="13"/>
  <c r="X16" i="13" s="1"/>
  <c r="T15" i="13"/>
  <c r="U15" i="13" s="1"/>
  <c r="T14" i="13"/>
  <c r="U14" i="13" s="1"/>
  <c r="T17" i="13"/>
  <c r="T16" i="13"/>
  <c r="U16" i="13" s="1"/>
  <c r="X7" i="13"/>
  <c r="S9" i="13"/>
  <c r="T9" i="13"/>
  <c r="S8" i="13"/>
  <c r="T7" i="13"/>
  <c r="S10" i="13"/>
  <c r="T10" i="13"/>
  <c r="T8" i="13"/>
  <c r="U8" i="13" s="1"/>
  <c r="S7" i="13"/>
  <c r="X8" i="13"/>
  <c r="X10" i="13"/>
  <c r="X9" i="13"/>
  <c r="U17" i="13" l="1"/>
  <c r="V14" i="13" s="1"/>
  <c r="U49" i="13"/>
  <c r="V22" i="13"/>
  <c r="X30" i="13"/>
  <c r="X28" i="13"/>
  <c r="H28" i="13" s="1"/>
  <c r="Q26" i="10" s="1"/>
  <c r="R17" i="5" s="1"/>
  <c r="V51" i="13"/>
  <c r="B7" i="13"/>
  <c r="B8" i="13"/>
  <c r="U7" i="13"/>
  <c r="D59" i="13"/>
  <c r="M57" i="10" s="1"/>
  <c r="N20" i="9" s="1"/>
  <c r="H23" i="13"/>
  <c r="Q21" i="10" s="1"/>
  <c r="R19" i="4" s="1"/>
  <c r="V28" i="13"/>
  <c r="U10" i="13"/>
  <c r="U9" i="13"/>
  <c r="E56" i="13"/>
  <c r="N54" i="10" s="1"/>
  <c r="O17" i="9" s="1"/>
  <c r="G58" i="13"/>
  <c r="P56" i="10" s="1"/>
  <c r="Q19" i="9" s="1"/>
  <c r="I58" i="13"/>
  <c r="R56" i="10" s="1"/>
  <c r="S19" i="9" s="1"/>
  <c r="D58" i="13"/>
  <c r="M56" i="10" s="1"/>
  <c r="N19" i="9" s="1"/>
  <c r="F58" i="13"/>
  <c r="O56" i="10" s="1"/>
  <c r="P19" i="9" s="1"/>
  <c r="F56" i="13"/>
  <c r="O54" i="10" s="1"/>
  <c r="P17" i="9" s="1"/>
  <c r="C56" i="13"/>
  <c r="L54" i="10" s="1"/>
  <c r="B57" i="13"/>
  <c r="K55" i="10" s="1"/>
  <c r="G59" i="13"/>
  <c r="P57" i="10" s="1"/>
  <c r="Q20" i="9" s="1"/>
  <c r="B56" i="13"/>
  <c r="K54" i="10" s="1"/>
  <c r="D56" i="13"/>
  <c r="M54" i="10" s="1"/>
  <c r="N17" i="9" s="1"/>
  <c r="H56" i="13"/>
  <c r="Q54" i="10" s="1"/>
  <c r="R17" i="9" s="1"/>
  <c r="H59" i="13"/>
  <c r="Q57" i="10" s="1"/>
  <c r="R20" i="9" s="1"/>
  <c r="D57" i="13"/>
  <c r="M55" i="10" s="1"/>
  <c r="N18" i="9" s="1"/>
  <c r="C58" i="13"/>
  <c r="L56" i="10" s="1"/>
  <c r="E58" i="13"/>
  <c r="N56" i="10" s="1"/>
  <c r="O19" i="9" s="1"/>
  <c r="G57" i="13"/>
  <c r="P55" i="10" s="1"/>
  <c r="Q18" i="9" s="1"/>
  <c r="F59" i="13"/>
  <c r="O57" i="10" s="1"/>
  <c r="P20" i="9" s="1"/>
  <c r="F57" i="13"/>
  <c r="O55" i="10" s="1"/>
  <c r="P18" i="9" s="1"/>
  <c r="B59" i="13"/>
  <c r="K57" i="10" s="1"/>
  <c r="L20" i="9" s="1"/>
  <c r="C59" i="13"/>
  <c r="L57" i="10" s="1"/>
  <c r="B58" i="13"/>
  <c r="K56" i="10" s="1"/>
  <c r="L19" i="9" s="1"/>
  <c r="E57" i="13"/>
  <c r="N55" i="10" s="1"/>
  <c r="O18" i="9" s="1"/>
  <c r="G56" i="13"/>
  <c r="P54" i="10" s="1"/>
  <c r="Q17" i="9" s="1"/>
  <c r="I56" i="13"/>
  <c r="R54" i="10" s="1"/>
  <c r="S17" i="9" s="1"/>
  <c r="H58" i="13"/>
  <c r="Q56" i="10" s="1"/>
  <c r="R19" i="9" s="1"/>
  <c r="E59" i="13"/>
  <c r="N57" i="10" s="1"/>
  <c r="O20" i="9" s="1"/>
  <c r="H57" i="13"/>
  <c r="Q55" i="10" s="1"/>
  <c r="R18" i="9" s="1"/>
  <c r="C57" i="13"/>
  <c r="L55" i="10" s="1"/>
  <c r="I57" i="13"/>
  <c r="R55" i="10" s="1"/>
  <c r="S18" i="9" s="1"/>
  <c r="I59" i="13"/>
  <c r="R57" i="10" s="1"/>
  <c r="S20" i="9" s="1"/>
  <c r="V52" i="13"/>
  <c r="V49" i="13"/>
  <c r="G52" i="13"/>
  <c r="P50" i="10" s="1"/>
  <c r="Q20" i="8" s="1"/>
  <c r="E51" i="13"/>
  <c r="N49" i="10" s="1"/>
  <c r="O19" i="8" s="1"/>
  <c r="H50" i="13"/>
  <c r="Q48" i="10" s="1"/>
  <c r="R18" i="8" s="1"/>
  <c r="I50" i="13"/>
  <c r="R48" i="10" s="1"/>
  <c r="S18" i="8" s="1"/>
  <c r="D49" i="13"/>
  <c r="M47" i="10" s="1"/>
  <c r="N17" i="8" s="1"/>
  <c r="C49" i="13"/>
  <c r="L47" i="10" s="1"/>
  <c r="D51" i="13"/>
  <c r="M49" i="10" s="1"/>
  <c r="N19" i="8" s="1"/>
  <c r="G51" i="13"/>
  <c r="P49" i="10" s="1"/>
  <c r="Q19" i="8" s="1"/>
  <c r="E50" i="13"/>
  <c r="N48" i="10" s="1"/>
  <c r="O18" i="8" s="1"/>
  <c r="H49" i="13"/>
  <c r="Q47" i="10" s="1"/>
  <c r="R17" i="8" s="1"/>
  <c r="I49" i="13"/>
  <c r="R47" i="10" s="1"/>
  <c r="S17" i="8" s="1"/>
  <c r="I52" i="13"/>
  <c r="R50" i="10" s="1"/>
  <c r="S20" i="8" s="1"/>
  <c r="H52" i="13"/>
  <c r="Q50" i="10" s="1"/>
  <c r="R20" i="8" s="1"/>
  <c r="G50" i="13"/>
  <c r="P48" i="10" s="1"/>
  <c r="Q18" i="8" s="1"/>
  <c r="E49" i="13"/>
  <c r="N47" i="10" s="1"/>
  <c r="O17" i="8" s="1"/>
  <c r="F49" i="13"/>
  <c r="O47" i="10" s="1"/>
  <c r="P17" i="8" s="1"/>
  <c r="B49" i="13"/>
  <c r="K47" i="10" s="1"/>
  <c r="G49" i="13"/>
  <c r="P47" i="10" s="1"/>
  <c r="Q17" i="8" s="1"/>
  <c r="F51" i="13"/>
  <c r="O49" i="10" s="1"/>
  <c r="P19" i="8" s="1"/>
  <c r="H51" i="13"/>
  <c r="Q49" i="10" s="1"/>
  <c r="R19" i="8" s="1"/>
  <c r="I51" i="13"/>
  <c r="R49" i="10" s="1"/>
  <c r="S19" i="8" s="1"/>
  <c r="B51" i="13"/>
  <c r="K49" i="10" s="1"/>
  <c r="L19" i="8" s="1"/>
  <c r="D52" i="13"/>
  <c r="M50" i="10" s="1"/>
  <c r="N20" i="8" s="1"/>
  <c r="E52" i="13"/>
  <c r="N50" i="10" s="1"/>
  <c r="O20" i="8" s="1"/>
  <c r="C51" i="13"/>
  <c r="L49" i="10" s="1"/>
  <c r="F50" i="13"/>
  <c r="O48" i="10" s="1"/>
  <c r="P18" i="8" s="1"/>
  <c r="C50" i="13"/>
  <c r="L48" i="10" s="1"/>
  <c r="B52" i="13"/>
  <c r="K50" i="10" s="1"/>
  <c r="L20" i="8" s="1"/>
  <c r="C52" i="13"/>
  <c r="L50" i="10" s="1"/>
  <c r="B50" i="13"/>
  <c r="K48" i="10" s="1"/>
  <c r="F52" i="13"/>
  <c r="O50" i="10" s="1"/>
  <c r="P20" i="8" s="1"/>
  <c r="V50" i="13"/>
  <c r="D50" i="13"/>
  <c r="M48" i="10" s="1"/>
  <c r="N18" i="8" s="1"/>
  <c r="U42" i="13"/>
  <c r="X43" i="13"/>
  <c r="X45" i="13"/>
  <c r="U43" i="13"/>
  <c r="X44" i="13"/>
  <c r="X42" i="13"/>
  <c r="V36" i="13"/>
  <c r="V38" i="13"/>
  <c r="V35" i="13"/>
  <c r="X35" i="13"/>
  <c r="X37" i="13"/>
  <c r="V37" i="13"/>
  <c r="X36" i="13"/>
  <c r="V29" i="13"/>
  <c r="V30" i="13"/>
  <c r="X29" i="13"/>
  <c r="I28" i="13"/>
  <c r="R26" i="10" s="1"/>
  <c r="S17" i="5" s="1"/>
  <c r="C28" i="13"/>
  <c r="L26" i="10" s="1"/>
  <c r="G28" i="13"/>
  <c r="P26" i="10" s="1"/>
  <c r="Q17" i="5" s="1"/>
  <c r="D28" i="13"/>
  <c r="M26" i="10" s="1"/>
  <c r="N17" i="5" s="1"/>
  <c r="B28" i="13"/>
  <c r="K26" i="10" s="1"/>
  <c r="G29" i="13"/>
  <c r="P27" i="10" s="1"/>
  <c r="Q18" i="5" s="1"/>
  <c r="V31" i="13"/>
  <c r="V21" i="13"/>
  <c r="G21" i="13"/>
  <c r="P19" i="10" s="1"/>
  <c r="Q17" i="4" s="1"/>
  <c r="G22" i="13"/>
  <c r="P20" i="10" s="1"/>
  <c r="Q18" i="4" s="1"/>
  <c r="C21" i="13"/>
  <c r="L19" i="10" s="1"/>
  <c r="B21" i="13"/>
  <c r="K19" i="10" s="1"/>
  <c r="E22" i="13"/>
  <c r="N20" i="10" s="1"/>
  <c r="O18" i="4" s="1"/>
  <c r="D22" i="13"/>
  <c r="M20" i="10" s="1"/>
  <c r="N18" i="4" s="1"/>
  <c r="I24" i="13"/>
  <c r="R22" i="10" s="1"/>
  <c r="S20" i="4" s="1"/>
  <c r="G24" i="13"/>
  <c r="P22" i="10" s="1"/>
  <c r="Q20" i="4" s="1"/>
  <c r="C24" i="13"/>
  <c r="L22" i="10" s="1"/>
  <c r="B24" i="13"/>
  <c r="K22" i="10" s="1"/>
  <c r="L20" i="4" s="1"/>
  <c r="E21" i="13"/>
  <c r="N19" i="10" s="1"/>
  <c r="O17" i="4" s="1"/>
  <c r="H21" i="13"/>
  <c r="Q19" i="10" s="1"/>
  <c r="R17" i="4" s="1"/>
  <c r="I21" i="13"/>
  <c r="R19" i="10" s="1"/>
  <c r="S17" i="4" s="1"/>
  <c r="F22" i="13"/>
  <c r="O20" i="10" s="1"/>
  <c r="P18" i="4" s="1"/>
  <c r="I22" i="13"/>
  <c r="R20" i="10" s="1"/>
  <c r="S18" i="4" s="1"/>
  <c r="C22" i="13"/>
  <c r="L20" i="10" s="1"/>
  <c r="H24" i="13"/>
  <c r="Q22" i="10" s="1"/>
  <c r="R20" i="4" s="1"/>
  <c r="F24" i="13"/>
  <c r="O22" i="10" s="1"/>
  <c r="P20" i="4" s="1"/>
  <c r="D24" i="13"/>
  <c r="M22" i="10" s="1"/>
  <c r="N20" i="4" s="1"/>
  <c r="E24" i="13"/>
  <c r="N22" i="10" s="1"/>
  <c r="O20" i="4" s="1"/>
  <c r="F21" i="13"/>
  <c r="O19" i="10" s="1"/>
  <c r="P17" i="4" s="1"/>
  <c r="D21" i="13"/>
  <c r="M19" i="10" s="1"/>
  <c r="N17" i="4" s="1"/>
  <c r="B23" i="13"/>
  <c r="K21" i="10" s="1"/>
  <c r="L19" i="4" s="1"/>
  <c r="E23" i="13"/>
  <c r="N21" i="10" s="1"/>
  <c r="O19" i="4" s="1"/>
  <c r="F23" i="13"/>
  <c r="O21" i="10" s="1"/>
  <c r="P19" i="4" s="1"/>
  <c r="C23" i="13"/>
  <c r="L21" i="10" s="1"/>
  <c r="H22" i="13"/>
  <c r="Q20" i="10" s="1"/>
  <c r="R18" i="4" s="1"/>
  <c r="B22" i="13"/>
  <c r="K20" i="10" s="1"/>
  <c r="I23" i="13"/>
  <c r="R21" i="10" s="1"/>
  <c r="S19" i="4" s="1"/>
  <c r="D23" i="13"/>
  <c r="M21" i="10" s="1"/>
  <c r="N19" i="4" s="1"/>
  <c r="G23" i="13"/>
  <c r="P21" i="10" s="1"/>
  <c r="Q19" i="4" s="1"/>
  <c r="V24" i="13"/>
  <c r="V23" i="13"/>
  <c r="V16" i="13"/>
  <c r="X14" i="13"/>
  <c r="X15" i="13"/>
  <c r="X17" i="13"/>
  <c r="D7" i="13"/>
  <c r="C7" i="13"/>
  <c r="L5" i="10" s="1"/>
  <c r="M17" i="2" s="1"/>
  <c r="D9" i="13"/>
  <c r="F9" i="13"/>
  <c r="E9" i="13"/>
  <c r="B9" i="13"/>
  <c r="C9" i="13"/>
  <c r="G9" i="13"/>
  <c r="I9" i="13"/>
  <c r="H9" i="13"/>
  <c r="H7" i="13"/>
  <c r="V9" i="13"/>
  <c r="I7" i="13"/>
  <c r="C10" i="13"/>
  <c r="L8" i="10" s="1"/>
  <c r="E7" i="13"/>
  <c r="I8" i="13"/>
  <c r="H8" i="13"/>
  <c r="F7" i="13"/>
  <c r="G10" i="13"/>
  <c r="I10" i="13"/>
  <c r="G7" i="13"/>
  <c r="C8" i="13"/>
  <c r="L6" i="10" s="1"/>
  <c r="F8" i="13"/>
  <c r="E8" i="13"/>
  <c r="E10" i="13"/>
  <c r="F10" i="13"/>
  <c r="H10" i="13"/>
  <c r="K6" i="10"/>
  <c r="L18" i="2" s="1"/>
  <c r="D8" i="13"/>
  <c r="G8" i="13"/>
  <c r="B10" i="13"/>
  <c r="D10" i="13"/>
  <c r="K5" i="10"/>
  <c r="L17" i="2" s="1"/>
  <c r="F28" i="13" l="1"/>
  <c r="O26" i="10" s="1"/>
  <c r="P17" i="5" s="1"/>
  <c r="E28" i="13"/>
  <c r="N26" i="10" s="1"/>
  <c r="O17" i="5" s="1"/>
  <c r="H29" i="13"/>
  <c r="Q27" i="10" s="1"/>
  <c r="R18" i="5" s="1"/>
  <c r="E31" i="13"/>
  <c r="N29" i="10" s="1"/>
  <c r="O20" i="5" s="1"/>
  <c r="F29" i="13"/>
  <c r="O27" i="10" s="1"/>
  <c r="P18" i="5" s="1"/>
  <c r="E29" i="13"/>
  <c r="N27" i="10" s="1"/>
  <c r="O18" i="5" s="1"/>
  <c r="V15" i="13"/>
  <c r="V17" i="13"/>
  <c r="D30" i="13"/>
  <c r="M28" i="10" s="1"/>
  <c r="N19" i="5" s="1"/>
  <c r="I31" i="13"/>
  <c r="R29" i="10" s="1"/>
  <c r="S20" i="5" s="1"/>
  <c r="C31" i="13"/>
  <c r="L29" i="10" s="1"/>
  <c r="E30" i="13"/>
  <c r="N28" i="10" s="1"/>
  <c r="O19" i="5" s="1"/>
  <c r="D31" i="13"/>
  <c r="M29" i="10" s="1"/>
  <c r="N20" i="5" s="1"/>
  <c r="I29" i="13"/>
  <c r="R27" i="10" s="1"/>
  <c r="S18" i="5" s="1"/>
  <c r="H31" i="13"/>
  <c r="Q29" i="10" s="1"/>
  <c r="R20" i="5" s="1"/>
  <c r="B37" i="13"/>
  <c r="K35" i="10" s="1"/>
  <c r="L19" i="6" s="1"/>
  <c r="F31" i="13"/>
  <c r="O29" i="10" s="1"/>
  <c r="P20" i="5" s="1"/>
  <c r="C29" i="13"/>
  <c r="L27" i="10" s="1"/>
  <c r="C30" i="13"/>
  <c r="L28" i="10" s="1"/>
  <c r="S28" i="10" s="1"/>
  <c r="T19" i="5" s="1"/>
  <c r="B30" i="13"/>
  <c r="K28" i="10" s="1"/>
  <c r="L19" i="5" s="1"/>
  <c r="I30" i="13"/>
  <c r="R28" i="10" s="1"/>
  <c r="S19" i="5" s="1"/>
  <c r="B31" i="13"/>
  <c r="K29" i="10" s="1"/>
  <c r="L20" i="5" s="1"/>
  <c r="B29" i="13"/>
  <c r="K27" i="10" s="1"/>
  <c r="U27" i="10" s="1"/>
  <c r="D29" i="13"/>
  <c r="M27" i="10" s="1"/>
  <c r="N18" i="5" s="1"/>
  <c r="F30" i="13"/>
  <c r="O28" i="10" s="1"/>
  <c r="P19" i="5" s="1"/>
  <c r="G31" i="13"/>
  <c r="P29" i="10" s="1"/>
  <c r="Q20" i="5" s="1"/>
  <c r="G30" i="13"/>
  <c r="P28" i="10" s="1"/>
  <c r="Q19" i="5" s="1"/>
  <c r="H30" i="13"/>
  <c r="Q28" i="10" s="1"/>
  <c r="R19" i="5" s="1"/>
  <c r="N6" i="10"/>
  <c r="O18" i="2" s="1"/>
  <c r="R8" i="10"/>
  <c r="S20" i="2" s="1"/>
  <c r="O5" i="10"/>
  <c r="P17" i="2" s="1"/>
  <c r="R6" i="10"/>
  <c r="S18" i="2" s="1"/>
  <c r="R7" i="10"/>
  <c r="S19" i="2" s="1"/>
  <c r="L7" i="10"/>
  <c r="M19" i="2" s="1"/>
  <c r="N7" i="10"/>
  <c r="O19" i="2" s="1"/>
  <c r="M7" i="10"/>
  <c r="N19" i="2" s="1"/>
  <c r="M5" i="10"/>
  <c r="N17" i="2" s="1"/>
  <c r="M8" i="10"/>
  <c r="N20" i="2" s="1"/>
  <c r="P6" i="10"/>
  <c r="Q18" i="2" s="1"/>
  <c r="O8" i="10"/>
  <c r="P20" i="2" s="1"/>
  <c r="K8" i="10"/>
  <c r="L20" i="2" s="1"/>
  <c r="M6" i="10"/>
  <c r="Q8" i="10"/>
  <c r="R20" i="2" s="1"/>
  <c r="N8" i="10"/>
  <c r="O20" i="2" s="1"/>
  <c r="O6" i="10"/>
  <c r="P18" i="2" s="1"/>
  <c r="P5" i="10"/>
  <c r="Q17" i="2" s="1"/>
  <c r="P8" i="10"/>
  <c r="Q20" i="2" s="1"/>
  <c r="Q6" i="10"/>
  <c r="R18" i="2" s="1"/>
  <c r="N5" i="10"/>
  <c r="O17" i="2" s="1"/>
  <c r="R5" i="10"/>
  <c r="S17" i="2" s="1"/>
  <c r="Q5" i="10"/>
  <c r="R17" i="2" s="1"/>
  <c r="Q7" i="10"/>
  <c r="R19" i="2" s="1"/>
  <c r="P7" i="10"/>
  <c r="Q19" i="2" s="1"/>
  <c r="K7" i="10"/>
  <c r="L19" i="2" s="1"/>
  <c r="O7" i="10"/>
  <c r="P19" i="2" s="1"/>
  <c r="V10" i="13"/>
  <c r="V43" i="13"/>
  <c r="B15" i="13"/>
  <c r="K13" i="10" s="1"/>
  <c r="U13" i="10" s="1"/>
  <c r="V7" i="13"/>
  <c r="V8" i="13"/>
  <c r="L17" i="9"/>
  <c r="U54" i="10"/>
  <c r="L18" i="9"/>
  <c r="U55" i="10"/>
  <c r="M18" i="9"/>
  <c r="S55" i="10"/>
  <c r="T18" i="9" s="1"/>
  <c r="L27" i="9" s="1"/>
  <c r="B27" i="11" s="1"/>
  <c r="M20" i="9"/>
  <c r="S57" i="10"/>
  <c r="T20" i="9" s="1"/>
  <c r="M19" i="9"/>
  <c r="S56" i="10"/>
  <c r="T19" i="9" s="1"/>
  <c r="M17" i="9"/>
  <c r="S54" i="10"/>
  <c r="T17" i="9" s="1"/>
  <c r="L26" i="9" s="1"/>
  <c r="B47" i="11" s="1"/>
  <c r="E49" i="11" s="1"/>
  <c r="H46" i="11" s="1"/>
  <c r="K40" i="11" s="1"/>
  <c r="M20" i="8"/>
  <c r="S50" i="10"/>
  <c r="T20" i="8" s="1"/>
  <c r="M18" i="8"/>
  <c r="S48" i="10"/>
  <c r="T18" i="8" s="1"/>
  <c r="L27" i="8" s="1"/>
  <c r="B51" i="11" s="1"/>
  <c r="S49" i="10"/>
  <c r="T19" i="8" s="1"/>
  <c r="M19" i="8"/>
  <c r="L17" i="8"/>
  <c r="U47" i="10"/>
  <c r="L18" i="8"/>
  <c r="U48" i="10"/>
  <c r="M17" i="8"/>
  <c r="S47" i="10"/>
  <c r="T17" i="8" s="1"/>
  <c r="L26" i="8" s="1"/>
  <c r="B23" i="11" s="1"/>
  <c r="E25" i="11" s="1"/>
  <c r="V45" i="13"/>
  <c r="B44" i="13"/>
  <c r="K42" i="10" s="1"/>
  <c r="L19" i="7" s="1"/>
  <c r="I43" i="13"/>
  <c r="R41" i="10" s="1"/>
  <c r="S18" i="7" s="1"/>
  <c r="D43" i="13"/>
  <c r="M41" i="10" s="1"/>
  <c r="N18" i="7" s="1"/>
  <c r="G45" i="13"/>
  <c r="P43" i="10" s="1"/>
  <c r="Q20" i="7" s="1"/>
  <c r="I45" i="13"/>
  <c r="R43" i="10" s="1"/>
  <c r="S20" i="7" s="1"/>
  <c r="H42" i="13"/>
  <c r="Q40" i="10" s="1"/>
  <c r="R17" i="7" s="1"/>
  <c r="D44" i="13"/>
  <c r="M42" i="10" s="1"/>
  <c r="N19" i="7" s="1"/>
  <c r="D42" i="13"/>
  <c r="M40" i="10" s="1"/>
  <c r="N17" i="7" s="1"/>
  <c r="G42" i="13"/>
  <c r="P40" i="10" s="1"/>
  <c r="Q17" i="7" s="1"/>
  <c r="C45" i="13"/>
  <c r="L43" i="10" s="1"/>
  <c r="F44" i="13"/>
  <c r="O42" i="10" s="1"/>
  <c r="P19" i="7" s="1"/>
  <c r="B45" i="13"/>
  <c r="K43" i="10" s="1"/>
  <c r="L20" i="7" s="1"/>
  <c r="G44" i="13"/>
  <c r="P42" i="10" s="1"/>
  <c r="Q19" i="7" s="1"/>
  <c r="F45" i="13"/>
  <c r="O43" i="10" s="1"/>
  <c r="P20" i="7" s="1"/>
  <c r="H45" i="13"/>
  <c r="Q43" i="10" s="1"/>
  <c r="R20" i="7" s="1"/>
  <c r="F43" i="13"/>
  <c r="O41" i="10" s="1"/>
  <c r="P18" i="7" s="1"/>
  <c r="I44" i="13"/>
  <c r="R42" i="10" s="1"/>
  <c r="S19" i="7" s="1"/>
  <c r="H44" i="13"/>
  <c r="Q42" i="10" s="1"/>
  <c r="R19" i="7" s="1"/>
  <c r="F42" i="13"/>
  <c r="O40" i="10" s="1"/>
  <c r="P17" i="7" s="1"/>
  <c r="C44" i="13"/>
  <c r="L42" i="10" s="1"/>
  <c r="H43" i="13"/>
  <c r="Q41" i="10" s="1"/>
  <c r="R18" i="7" s="1"/>
  <c r="E42" i="13"/>
  <c r="N40" i="10" s="1"/>
  <c r="O17" i="7" s="1"/>
  <c r="E43" i="13"/>
  <c r="N41" i="10" s="1"/>
  <c r="O18" i="7" s="1"/>
  <c r="G43" i="13"/>
  <c r="P41" i="10" s="1"/>
  <c r="Q18" i="7" s="1"/>
  <c r="C42" i="13"/>
  <c r="L40" i="10" s="1"/>
  <c r="I42" i="13"/>
  <c r="R40" i="10" s="1"/>
  <c r="S17" i="7" s="1"/>
  <c r="E45" i="13"/>
  <c r="N43" i="10" s="1"/>
  <c r="O20" i="7" s="1"/>
  <c r="D45" i="13"/>
  <c r="M43" i="10" s="1"/>
  <c r="N20" i="7" s="1"/>
  <c r="C43" i="13"/>
  <c r="L41" i="10" s="1"/>
  <c r="B43" i="13"/>
  <c r="K41" i="10" s="1"/>
  <c r="E44" i="13"/>
  <c r="N42" i="10" s="1"/>
  <c r="O19" i="7" s="1"/>
  <c r="B42" i="13"/>
  <c r="K40" i="10" s="1"/>
  <c r="V42" i="13"/>
  <c r="V44" i="13"/>
  <c r="B38" i="13"/>
  <c r="K36" i="10" s="1"/>
  <c r="L20" i="6" s="1"/>
  <c r="C35" i="13"/>
  <c r="L33" i="10" s="1"/>
  <c r="I35" i="13"/>
  <c r="R33" i="10" s="1"/>
  <c r="S17" i="6" s="1"/>
  <c r="I37" i="13"/>
  <c r="R35" i="10" s="1"/>
  <c r="S19" i="6" s="1"/>
  <c r="H35" i="13"/>
  <c r="Q33" i="10" s="1"/>
  <c r="R17" i="6" s="1"/>
  <c r="H36" i="13"/>
  <c r="Q34" i="10" s="1"/>
  <c r="R18" i="6" s="1"/>
  <c r="H38" i="13"/>
  <c r="Q36" i="10" s="1"/>
  <c r="R20" i="6" s="1"/>
  <c r="C38" i="13"/>
  <c r="L36" i="10" s="1"/>
  <c r="F35" i="13"/>
  <c r="O33" i="10" s="1"/>
  <c r="P17" i="6" s="1"/>
  <c r="F36" i="13"/>
  <c r="O34" i="10" s="1"/>
  <c r="P18" i="6" s="1"/>
  <c r="E35" i="13"/>
  <c r="N33" i="10" s="1"/>
  <c r="O17" i="6" s="1"/>
  <c r="C37" i="13"/>
  <c r="L35" i="10" s="1"/>
  <c r="D35" i="13"/>
  <c r="M33" i="10" s="1"/>
  <c r="N17" i="6" s="1"/>
  <c r="B36" i="13"/>
  <c r="K34" i="10" s="1"/>
  <c r="H37" i="13"/>
  <c r="Q35" i="10" s="1"/>
  <c r="R19" i="6" s="1"/>
  <c r="G35" i="13"/>
  <c r="P33" i="10" s="1"/>
  <c r="Q17" i="6" s="1"/>
  <c r="E36" i="13"/>
  <c r="N34" i="10" s="1"/>
  <c r="O18" i="6" s="1"/>
  <c r="I38" i="13"/>
  <c r="R36" i="10" s="1"/>
  <c r="S20" i="6" s="1"/>
  <c r="B35" i="13"/>
  <c r="K33" i="10" s="1"/>
  <c r="G37" i="13"/>
  <c r="P35" i="10" s="1"/>
  <c r="Q19" i="6" s="1"/>
  <c r="C36" i="13"/>
  <c r="L34" i="10" s="1"/>
  <c r="D37" i="13"/>
  <c r="M35" i="10" s="1"/>
  <c r="N19" i="6" s="1"/>
  <c r="G38" i="13"/>
  <c r="P36" i="10" s="1"/>
  <c r="Q20" i="6" s="1"/>
  <c r="G36" i="13"/>
  <c r="P34" i="10" s="1"/>
  <c r="Q18" i="6" s="1"/>
  <c r="F37" i="13"/>
  <c r="O35" i="10" s="1"/>
  <c r="P19" i="6" s="1"/>
  <c r="E38" i="13"/>
  <c r="N36" i="10" s="1"/>
  <c r="O20" i="6" s="1"/>
  <c r="I36" i="13"/>
  <c r="R34" i="10" s="1"/>
  <c r="S18" i="6" s="1"/>
  <c r="D38" i="13"/>
  <c r="M36" i="10" s="1"/>
  <c r="N20" i="6" s="1"/>
  <c r="D36" i="13"/>
  <c r="M34" i="10" s="1"/>
  <c r="N18" i="6" s="1"/>
  <c r="E37" i="13"/>
  <c r="N35" i="10" s="1"/>
  <c r="O19" i="6" s="1"/>
  <c r="F38" i="13"/>
  <c r="O36" i="10" s="1"/>
  <c r="P20" i="6" s="1"/>
  <c r="M18" i="5"/>
  <c r="S27" i="10"/>
  <c r="T18" i="5" s="1"/>
  <c r="L27" i="5" s="1"/>
  <c r="B15" i="11" s="1"/>
  <c r="E13" i="11" s="1"/>
  <c r="U26" i="10"/>
  <c r="L17" i="5"/>
  <c r="M19" i="5"/>
  <c r="M17" i="5"/>
  <c r="S26" i="10"/>
  <c r="T17" i="5" s="1"/>
  <c r="M20" i="5"/>
  <c r="S29" i="10"/>
  <c r="T20" i="5" s="1"/>
  <c r="M20" i="4"/>
  <c r="S22" i="10"/>
  <c r="T20" i="4" s="1"/>
  <c r="M17" i="4"/>
  <c r="S19" i="10"/>
  <c r="T17" i="4" s="1"/>
  <c r="L26" i="4" s="1"/>
  <c r="B11" i="11" s="1"/>
  <c r="U20" i="10"/>
  <c r="L18" i="4"/>
  <c r="S21" i="10"/>
  <c r="T19" i="4" s="1"/>
  <c r="M19" i="4"/>
  <c r="M18" i="4"/>
  <c r="S20" i="10"/>
  <c r="T18" i="4" s="1"/>
  <c r="L17" i="4"/>
  <c r="U19" i="10"/>
  <c r="B16" i="13"/>
  <c r="K14" i="10" s="1"/>
  <c r="L19" i="3" s="1"/>
  <c r="B17" i="13"/>
  <c r="K15" i="10" s="1"/>
  <c r="L20" i="3" s="1"/>
  <c r="F17" i="13"/>
  <c r="O15" i="10" s="1"/>
  <c r="P20" i="3" s="1"/>
  <c r="C14" i="13"/>
  <c r="L12" i="10" s="1"/>
  <c r="G14" i="13"/>
  <c r="P12" i="10" s="1"/>
  <c r="Q17" i="3" s="1"/>
  <c r="C15" i="13"/>
  <c r="L13" i="10" s="1"/>
  <c r="C16" i="13"/>
  <c r="L14" i="10" s="1"/>
  <c r="G16" i="13"/>
  <c r="P14" i="10" s="1"/>
  <c r="Q19" i="3" s="1"/>
  <c r="E17" i="13"/>
  <c r="N15" i="10" s="1"/>
  <c r="O20" i="3" s="1"/>
  <c r="I17" i="13"/>
  <c r="R15" i="10" s="1"/>
  <c r="S20" i="3" s="1"/>
  <c r="F14" i="13"/>
  <c r="O12" i="10" s="1"/>
  <c r="P17" i="3" s="1"/>
  <c r="B14" i="13"/>
  <c r="K12" i="10" s="1"/>
  <c r="F15" i="13"/>
  <c r="O13" i="10" s="1"/>
  <c r="P18" i="3" s="1"/>
  <c r="F16" i="13"/>
  <c r="O14" i="10" s="1"/>
  <c r="P19" i="3" s="1"/>
  <c r="D17" i="13"/>
  <c r="M15" i="10" s="1"/>
  <c r="N20" i="3" s="1"/>
  <c r="H17" i="13"/>
  <c r="Q15" i="10" s="1"/>
  <c r="R20" i="3" s="1"/>
  <c r="E14" i="13"/>
  <c r="N12" i="10" s="1"/>
  <c r="O17" i="3" s="1"/>
  <c r="I14" i="13"/>
  <c r="R12" i="10" s="1"/>
  <c r="S17" i="3" s="1"/>
  <c r="G15" i="13"/>
  <c r="P13" i="10" s="1"/>
  <c r="Q18" i="3" s="1"/>
  <c r="E16" i="13"/>
  <c r="N14" i="10" s="1"/>
  <c r="O19" i="3" s="1"/>
  <c r="C17" i="13"/>
  <c r="L15" i="10" s="1"/>
  <c r="G17" i="13"/>
  <c r="P15" i="10" s="1"/>
  <c r="Q20" i="3" s="1"/>
  <c r="D14" i="13"/>
  <c r="M12" i="10" s="1"/>
  <c r="N17" i="3" s="1"/>
  <c r="H14" i="13"/>
  <c r="Q12" i="10" s="1"/>
  <c r="R17" i="3" s="1"/>
  <c r="I15" i="13"/>
  <c r="R13" i="10" s="1"/>
  <c r="S18" i="3" s="1"/>
  <c r="H16" i="13"/>
  <c r="Q14" i="10" s="1"/>
  <c r="R19" i="3" s="1"/>
  <c r="H15" i="13"/>
  <c r="Q13" i="10" s="1"/>
  <c r="R18" i="3" s="1"/>
  <c r="I16" i="13"/>
  <c r="R14" i="10" s="1"/>
  <c r="S19" i="3" s="1"/>
  <c r="E15" i="13"/>
  <c r="N13" i="10" s="1"/>
  <c r="O18" i="3" s="1"/>
  <c r="D16" i="13"/>
  <c r="M14" i="10" s="1"/>
  <c r="N19" i="3" s="1"/>
  <c r="D15" i="13"/>
  <c r="M13" i="10" s="1"/>
  <c r="N18" i="3" s="1"/>
  <c r="U6" i="10"/>
  <c r="M18" i="2"/>
  <c r="M20" i="2"/>
  <c r="U5" i="10"/>
  <c r="L18" i="5" l="1"/>
  <c r="S6" i="10"/>
  <c r="T17" i="2"/>
  <c r="L26" i="2" s="1"/>
  <c r="S5" i="10"/>
  <c r="S8" i="10"/>
  <c r="S7" i="10"/>
  <c r="T20" i="2"/>
  <c r="N18" i="2"/>
  <c r="T18" i="2" s="1"/>
  <c r="L27" i="2" s="1"/>
  <c r="B33" i="11" s="1"/>
  <c r="T19" i="2"/>
  <c r="L18" i="3"/>
  <c r="U40" i="10"/>
  <c r="L17" i="7"/>
  <c r="U41" i="10"/>
  <c r="L18" i="7"/>
  <c r="S42" i="10"/>
  <c r="T19" i="7" s="1"/>
  <c r="M19" i="7"/>
  <c r="M20" i="7"/>
  <c r="S43" i="10"/>
  <c r="T20" i="7" s="1"/>
  <c r="M18" i="7"/>
  <c r="S41" i="10"/>
  <c r="T18" i="7" s="1"/>
  <c r="L27" i="7" s="1"/>
  <c r="B21" i="11" s="1"/>
  <c r="M17" i="7"/>
  <c r="S40" i="10"/>
  <c r="T17" i="7" s="1"/>
  <c r="L26" i="7" s="1"/>
  <c r="B41" i="11" s="1"/>
  <c r="E43" i="11" s="1"/>
  <c r="L18" i="6"/>
  <c r="U34" i="10"/>
  <c r="M19" i="6"/>
  <c r="S35" i="10"/>
  <c r="T19" i="6" s="1"/>
  <c r="S36" i="10"/>
  <c r="T20" i="6" s="1"/>
  <c r="M20" i="6"/>
  <c r="M17" i="6"/>
  <c r="S33" i="10"/>
  <c r="T17" i="6" s="1"/>
  <c r="S34" i="10"/>
  <c r="T18" i="6" s="1"/>
  <c r="L27" i="6" s="1"/>
  <c r="B45" i="11" s="1"/>
  <c r="M18" i="6"/>
  <c r="U33" i="10"/>
  <c r="L17" i="6"/>
  <c r="L26" i="6" s="1"/>
  <c r="B17" i="11" s="1"/>
  <c r="E19" i="11" s="1"/>
  <c r="H22" i="11" s="1"/>
  <c r="K16" i="11" s="1"/>
  <c r="L26" i="5"/>
  <c r="B35" i="11" s="1"/>
  <c r="E37" i="11" s="1"/>
  <c r="H34" i="11" s="1"/>
  <c r="K57" i="11" s="1"/>
  <c r="N54" i="11" s="1"/>
  <c r="L27" i="4"/>
  <c r="B39" i="11" s="1"/>
  <c r="L17" i="3"/>
  <c r="U12" i="10"/>
  <c r="M18" i="3"/>
  <c r="S13" i="10"/>
  <c r="T18" i="3" s="1"/>
  <c r="L27" i="3" s="1"/>
  <c r="B9" i="11" s="1"/>
  <c r="M17" i="3"/>
  <c r="S12" i="10"/>
  <c r="T17" i="3" s="1"/>
  <c r="L26" i="3" s="1"/>
  <c r="B29" i="11" s="1"/>
  <c r="E31" i="11" s="1"/>
  <c r="M20" i="3"/>
  <c r="S15" i="10"/>
  <c r="T20" i="3" s="1"/>
  <c r="M19" i="3"/>
  <c r="S14" i="10"/>
  <c r="T19" i="3" s="1"/>
  <c r="B5" i="11"/>
  <c r="E7" i="11" s="1"/>
  <c r="H10" i="11" s="1"/>
  <c r="K51" i="11" s="1"/>
</calcChain>
</file>

<file path=xl/sharedStrings.xml><?xml version="1.0" encoding="utf-8"?>
<sst xmlns="http://schemas.openxmlformats.org/spreadsheetml/2006/main" count="516" uniqueCount="170">
  <si>
    <t>Fecha:</t>
  </si>
  <si>
    <t>Grupo A</t>
  </si>
  <si>
    <t>PJ</t>
  </si>
  <si>
    <t>Equipos Clasificados</t>
  </si>
  <si>
    <t>Grupo B</t>
  </si>
  <si>
    <t>Argentina</t>
  </si>
  <si>
    <t>Grupo D</t>
  </si>
  <si>
    <t>Grupo E</t>
  </si>
  <si>
    <t>Grupo F</t>
  </si>
  <si>
    <t>Grupo G</t>
  </si>
  <si>
    <t>Grupo H</t>
  </si>
  <si>
    <t>Grupo C</t>
  </si>
  <si>
    <t>T</t>
  </si>
  <si>
    <t>P</t>
  </si>
  <si>
    <t>hora local</t>
  </si>
  <si>
    <t>Pais</t>
  </si>
  <si>
    <t>Uso horario</t>
  </si>
  <si>
    <t>Diferencia</t>
  </si>
  <si>
    <t>turno 1</t>
  </si>
  <si>
    <t>GMT</t>
  </si>
  <si>
    <t>turno 2</t>
  </si>
  <si>
    <t>Sudafrica</t>
  </si>
  <si>
    <t>turno 3</t>
  </si>
  <si>
    <t>Tabla de Posiciones</t>
  </si>
  <si>
    <t>Pos.</t>
  </si>
  <si>
    <t>GF</t>
  </si>
  <si>
    <t>GC</t>
  </si>
  <si>
    <t>Rank</t>
  </si>
  <si>
    <t>RnkDG</t>
  </si>
  <si>
    <t>Posición</t>
  </si>
  <si>
    <t>Pos Fin</t>
  </si>
  <si>
    <t>Pos GF</t>
  </si>
  <si>
    <t>A1</t>
  </si>
  <si>
    <t>E1</t>
  </si>
  <si>
    <t>A2</t>
  </si>
  <si>
    <t>Mexico</t>
  </si>
  <si>
    <t>E2</t>
  </si>
  <si>
    <t>Paraguay</t>
  </si>
  <si>
    <t>A3</t>
  </si>
  <si>
    <t>Uruguay</t>
  </si>
  <si>
    <t>E3</t>
  </si>
  <si>
    <t>Cabezas de serie</t>
  </si>
  <si>
    <t>Bombo 2</t>
  </si>
  <si>
    <t>Bombo 3</t>
  </si>
  <si>
    <t>Bombo 4</t>
  </si>
  <si>
    <t>A4</t>
  </si>
  <si>
    <t>E4</t>
  </si>
  <si>
    <t>Brasil</t>
  </si>
  <si>
    <t>B1</t>
  </si>
  <si>
    <t>F1</t>
  </si>
  <si>
    <t>España</t>
  </si>
  <si>
    <t>B2</t>
  </si>
  <si>
    <t>F2</t>
  </si>
  <si>
    <t>B3</t>
  </si>
  <si>
    <t>F3</t>
  </si>
  <si>
    <t>B4</t>
  </si>
  <si>
    <t>F4</t>
  </si>
  <si>
    <t>Chile</t>
  </si>
  <si>
    <t>C1</t>
  </si>
  <si>
    <t>G1</t>
  </si>
  <si>
    <t>C2</t>
  </si>
  <si>
    <t>G2</t>
  </si>
  <si>
    <t>C3</t>
  </si>
  <si>
    <t>G3</t>
  </si>
  <si>
    <t>C4</t>
  </si>
  <si>
    <t>G4</t>
  </si>
  <si>
    <t>D1</t>
  </si>
  <si>
    <t>H1</t>
  </si>
  <si>
    <t>D2</t>
  </si>
  <si>
    <t>H2</t>
  </si>
  <si>
    <t>D3</t>
  </si>
  <si>
    <t>H3</t>
  </si>
  <si>
    <t>D4</t>
  </si>
  <si>
    <t>H4</t>
  </si>
  <si>
    <t>Auxiliar</t>
  </si>
  <si>
    <t>Jugados</t>
  </si>
  <si>
    <t>Perdidos</t>
  </si>
  <si>
    <t>Ganados</t>
  </si>
  <si>
    <t>-</t>
  </si>
  <si>
    <t>+</t>
  </si>
  <si>
    <t>Peru</t>
  </si>
  <si>
    <t>Colombia</t>
  </si>
  <si>
    <t>Ecuador</t>
  </si>
  <si>
    <t>Bolivia</t>
  </si>
  <si>
    <t>Local</t>
  </si>
  <si>
    <t>Seleccione su Pais:</t>
  </si>
  <si>
    <t>Venezuela</t>
  </si>
  <si>
    <t>PG</t>
  </si>
  <si>
    <t>PP</t>
  </si>
  <si>
    <t>PE</t>
  </si>
  <si>
    <t>Sedes</t>
  </si>
  <si>
    <t>turno 4</t>
  </si>
  <si>
    <t>turno 5</t>
  </si>
  <si>
    <t>turno 6</t>
  </si>
  <si>
    <t>turno 7</t>
  </si>
  <si>
    <t>Ημιτελικά</t>
  </si>
  <si>
    <t>Τελικός</t>
  </si>
  <si>
    <t>Πρωταθλητής</t>
  </si>
  <si>
    <t>Προημιτελικά</t>
  </si>
  <si>
    <t>Ελλάδα</t>
  </si>
  <si>
    <t>Κροατία</t>
  </si>
  <si>
    <t>Εκουαδόρ</t>
  </si>
  <si>
    <t>Ελβετία</t>
  </si>
  <si>
    <t>Βραζιλία</t>
  </si>
  <si>
    <t>Μεξικό</t>
  </si>
  <si>
    <t>Γαλλία</t>
  </si>
  <si>
    <t>Ονδούρα</t>
  </si>
  <si>
    <t>Καμερούν</t>
  </si>
  <si>
    <t>Ισπανία</t>
  </si>
  <si>
    <t>Αργεντινή</t>
  </si>
  <si>
    <t>Ολλανδία</t>
  </si>
  <si>
    <t>Βοσνία-Ερζεγοβίνη</t>
  </si>
  <si>
    <t>Ιράν</t>
  </si>
  <si>
    <t>Νιγηρία</t>
  </si>
  <si>
    <t>Χιλή</t>
  </si>
  <si>
    <t>Αυστραλία</t>
  </si>
  <si>
    <t>Κολομβία</t>
  </si>
  <si>
    <t>Ιαπωνία</t>
  </si>
  <si>
    <t>Γκάνα</t>
  </si>
  <si>
    <t>Πορτογαλία</t>
  </si>
  <si>
    <t>ΗΠΑ</t>
  </si>
  <si>
    <t>Βέλγιο</t>
  </si>
  <si>
    <t>Αλγερία</t>
  </si>
  <si>
    <t>Ρωσία</t>
  </si>
  <si>
    <t>Νότια Κορέα</t>
  </si>
  <si>
    <t>Ιταλία</t>
  </si>
  <si>
    <t>Αγγλία</t>
  </si>
  <si>
    <t>Κόστα Ρίκα</t>
  </si>
  <si>
    <t>Ουρουγουάη</t>
  </si>
  <si>
    <t>Ακτή Ελεφαντοστού</t>
  </si>
  <si>
    <t>Ημερ:</t>
  </si>
  <si>
    <t>Ώρα:</t>
  </si>
  <si>
    <t>Γκρουπ Α</t>
  </si>
  <si>
    <t>Γκρουπ Β</t>
  </si>
  <si>
    <t>Ημερ</t>
  </si>
  <si>
    <t>Ώρα</t>
  </si>
  <si>
    <t>Στάδιο</t>
  </si>
  <si>
    <t>Πόλη</t>
  </si>
  <si>
    <t>Αγώνας</t>
  </si>
  <si>
    <t>Προκρίνονται</t>
  </si>
  <si>
    <t>Ομάδα</t>
  </si>
  <si>
    <t>Γερμανία</t>
  </si>
  <si>
    <t>Ουρουγάη</t>
  </si>
  <si>
    <t>Ν</t>
  </si>
  <si>
    <t>Ι</t>
  </si>
  <si>
    <t>Η</t>
  </si>
  <si>
    <t>Δ</t>
  </si>
  <si>
    <t>ΓΥ</t>
  </si>
  <si>
    <t>ΓΚ</t>
  </si>
  <si>
    <t>ΒΑΘ.</t>
  </si>
  <si>
    <t>Γκρουπ Γ</t>
  </si>
  <si>
    <t>Γκρουπ Η</t>
  </si>
  <si>
    <t>Γκρουπ Ζ</t>
  </si>
  <si>
    <t>Γκρουπ ΣΤ</t>
  </si>
  <si>
    <t>Γκρουπ Ε</t>
  </si>
  <si>
    <t>Γκρουπ Δ</t>
  </si>
  <si>
    <t>Φάση των 16</t>
  </si>
  <si>
    <t>Μικρός Τελικός</t>
  </si>
  <si>
    <t>Σάο Πάολο</t>
  </si>
  <si>
    <t>Νατάλ</t>
  </si>
  <si>
    <t>Φορταλέζα</t>
  </si>
  <si>
    <t>Μανάους</t>
  </si>
  <si>
    <t>Μπραζίλια</t>
  </si>
  <si>
    <t>Ρεσίφε</t>
  </si>
  <si>
    <t>Σαλβαδόρ</t>
  </si>
  <si>
    <t>Ρίο Ντε Τζανέιρο</t>
  </si>
  <si>
    <t>Κουιάμπα</t>
  </si>
  <si>
    <t>Πόρτο Αλέγκρε</t>
  </si>
  <si>
    <t>Κουριτίμπα</t>
  </si>
  <si>
    <t>Μπέλο Οριζόντε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</si>
</sst>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\ hh:mm"/>
    <numFmt numFmtId="165" formatCode="&quot;En &quot;#,##0&quot; días&quot;"/>
    <numFmt numFmtId="166" formatCode="&quot;En &quot;#&quot; días&quot;"/>
    <numFmt numFmtId="167" formatCode="dddd&quot;, &quot;mmmm\ dd&quot;, &quot;yyyy"/>
    <numFmt numFmtId="168" formatCode="h:mm:ss\ AM/PM"/>
    <numFmt numFmtId="169" formatCode="[$-F400]h:mm:ss\ AM/PM"/>
    <numFmt numFmtId="170" formatCode="h:mm:ss;@"/>
  </numFmts>
  <fonts count="14" x14ac:knownFonts="1">
    <font>
      <sz val="10"/>
      <name val="Arial"/>
      <family val="2"/>
    </font>
    <font>
      <sz val="10"/>
      <name val="Arial"/>
      <family val="2"/>
      <charset val="177"/>
    </font>
    <font>
      <sz val="1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6"/>
      <name val="Arial"/>
      <family val="2"/>
    </font>
    <font>
      <b/>
      <sz val="14"/>
      <name val="Arial Unicode MS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0"/>
      <color rgb="FFFFCC99"/>
      <name val="Arial"/>
      <family val="2"/>
    </font>
    <font>
      <sz val="10"/>
      <color theme="9" tint="0.59999389629810485"/>
      <name val="Arial"/>
      <family val="2"/>
    </font>
    <font>
      <sz val="26"/>
      <name val="Stencil"/>
      <family val="5"/>
    </font>
    <font>
      <b/>
      <i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31"/>
      </patternFill>
    </fill>
    <fill>
      <patternFill patternType="solid">
        <fgColor rgb="FFFFFFCC"/>
        <bgColor indexed="22"/>
      </patternFill>
    </fill>
  </fills>
  <borders count="42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2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113">
    <xf numFmtId="0" fontId="0" fillId="0" borderId="0" xfId="0"/>
    <xf numFmtId="0" fontId="0" fillId="2" borderId="0" xfId="0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164" fontId="4" fillId="2" borderId="0" xfId="0" applyNumberFormat="1" applyFont="1" applyFill="1" applyAlignment="1" applyProtection="1">
      <alignment horizontal="right"/>
      <protection hidden="1"/>
    </xf>
    <xf numFmtId="164" fontId="4" fillId="2" borderId="0" xfId="0" applyNumberFormat="1" applyFont="1" applyFill="1" applyProtection="1">
      <protection hidden="1"/>
    </xf>
    <xf numFmtId="164" fontId="0" fillId="2" borderId="0" xfId="0" applyNumberFormat="1" applyFill="1" applyBorder="1" applyProtection="1">
      <protection hidden="1"/>
    </xf>
    <xf numFmtId="20" fontId="0" fillId="2" borderId="0" xfId="0" applyNumberFormat="1" applyFill="1" applyBorder="1" applyProtection="1">
      <protection hidden="1"/>
    </xf>
    <xf numFmtId="0" fontId="5" fillId="0" borderId="3" xfId="0" applyFont="1" applyFill="1" applyBorder="1" applyAlignment="1" applyProtection="1">
      <alignment horizontal="left"/>
      <protection hidden="1"/>
    </xf>
    <xf numFmtId="0" fontId="5" fillId="0" borderId="3" xfId="0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3" borderId="5" xfId="0" applyFill="1" applyBorder="1" applyProtection="1">
      <protection locked="0" hidden="1"/>
    </xf>
    <xf numFmtId="0" fontId="0" fillId="3" borderId="7" xfId="0" applyFill="1" applyBorder="1" applyProtection="1">
      <protection locked="0" hidden="1"/>
    </xf>
    <xf numFmtId="0" fontId="0" fillId="0" borderId="8" xfId="0" applyFill="1" applyBorder="1" applyAlignment="1" applyProtection="1">
      <protection hidden="1"/>
    </xf>
    <xf numFmtId="0" fontId="0" fillId="3" borderId="9" xfId="0" applyFill="1" applyBorder="1" applyProtection="1">
      <protection locked="0" hidden="1"/>
    </xf>
    <xf numFmtId="0" fontId="0" fillId="3" borderId="11" xfId="0" applyFill="1" applyBorder="1" applyProtection="1">
      <protection locked="0" hidden="1"/>
    </xf>
    <xf numFmtId="0" fontId="0" fillId="0" borderId="16" xfId="0" applyFill="1" applyBorder="1" applyAlignment="1" applyProtection="1">
      <protection hidden="1"/>
    </xf>
    <xf numFmtId="0" fontId="0" fillId="3" borderId="17" xfId="0" applyFill="1" applyBorder="1" applyProtection="1">
      <protection locked="0" hidden="1"/>
    </xf>
    <xf numFmtId="0" fontId="0" fillId="3" borderId="18" xfId="0" applyFill="1" applyBorder="1" applyProtection="1">
      <protection locked="0" hidden="1"/>
    </xf>
    <xf numFmtId="0" fontId="0" fillId="0" borderId="0" xfId="0" applyFill="1" applyProtection="1">
      <protection hidden="1"/>
    </xf>
    <xf numFmtId="0" fontId="6" fillId="0" borderId="0" xfId="0" applyFont="1" applyFill="1" applyProtection="1">
      <protection hidden="1"/>
    </xf>
    <xf numFmtId="164" fontId="6" fillId="0" borderId="0" xfId="0" applyNumberFormat="1" applyFont="1" applyFill="1" applyProtection="1">
      <protection hidden="1"/>
    </xf>
    <xf numFmtId="165" fontId="0" fillId="0" borderId="0" xfId="0" applyNumberFormat="1" applyFill="1" applyProtection="1">
      <protection hidden="1"/>
    </xf>
    <xf numFmtId="166" fontId="0" fillId="0" borderId="0" xfId="0" applyNumberFormat="1" applyFill="1" applyProtection="1">
      <protection hidden="1"/>
    </xf>
    <xf numFmtId="0" fontId="8" fillId="2" borderId="9" xfId="0" applyFont="1" applyFill="1" applyBorder="1" applyAlignment="1" applyProtection="1">
      <alignment horizontal="center"/>
      <protection hidden="1"/>
    </xf>
    <xf numFmtId="0" fontId="0" fillId="2" borderId="19" xfId="0" applyFill="1" applyBorder="1" applyProtection="1">
      <protection hidden="1"/>
    </xf>
    <xf numFmtId="0" fontId="0" fillId="3" borderId="19" xfId="0" applyFill="1" applyBorder="1" applyProtection="1">
      <protection locked="0" hidden="1"/>
    </xf>
    <xf numFmtId="0" fontId="0" fillId="2" borderId="20" xfId="0" applyFill="1" applyBorder="1" applyProtection="1">
      <protection locked="0" hidden="1"/>
    </xf>
    <xf numFmtId="0" fontId="9" fillId="2" borderId="0" xfId="1" applyNumberFormat="1" applyFont="1" applyFill="1" applyBorder="1" applyAlignment="1" applyProtection="1">
      <protection hidden="1"/>
    </xf>
    <xf numFmtId="0" fontId="0" fillId="2" borderId="21" xfId="0" applyFill="1" applyBorder="1" applyProtection="1">
      <protection hidden="1"/>
    </xf>
    <xf numFmtId="167" fontId="0" fillId="2" borderId="0" xfId="0" applyNumberFormat="1" applyFill="1" applyProtection="1">
      <protection hidden="1"/>
    </xf>
    <xf numFmtId="20" fontId="0" fillId="2" borderId="0" xfId="0" applyNumberFormat="1" applyFill="1" applyProtection="1">
      <protection hidden="1"/>
    </xf>
    <xf numFmtId="0" fontId="0" fillId="2" borderId="22" xfId="0" applyFill="1" applyBorder="1" applyProtection="1">
      <protection hidden="1"/>
    </xf>
    <xf numFmtId="0" fontId="0" fillId="2" borderId="23" xfId="0" applyFill="1" applyBorder="1" applyProtection="1">
      <protection locked="0" hidden="1"/>
    </xf>
    <xf numFmtId="14" fontId="0" fillId="2" borderId="0" xfId="0" applyNumberFormat="1" applyFill="1" applyProtection="1">
      <protection hidden="1"/>
    </xf>
    <xf numFmtId="0" fontId="2" fillId="2" borderId="19" xfId="0" applyFont="1" applyFill="1" applyBorder="1" applyAlignment="1" applyProtection="1">
      <alignment horizontal="center"/>
      <protection hidden="1"/>
    </xf>
    <xf numFmtId="164" fontId="0" fillId="0" borderId="0" xfId="0" applyNumberFormat="1"/>
    <xf numFmtId="20" fontId="0" fillId="0" borderId="0" xfId="0" applyNumberFormat="1"/>
    <xf numFmtId="0" fontId="0" fillId="0" borderId="0" xfId="0" applyNumberFormat="1"/>
    <xf numFmtId="0" fontId="1" fillId="0" borderId="0" xfId="2"/>
    <xf numFmtId="0" fontId="1" fillId="0" borderId="0" xfId="2" applyAlignment="1">
      <alignment horizontal="right"/>
    </xf>
    <xf numFmtId="0" fontId="4" fillId="0" borderId="9" xfId="2" applyFont="1" applyBorder="1" applyAlignment="1">
      <alignment horizontal="center"/>
    </xf>
    <xf numFmtId="0" fontId="1" fillId="0" borderId="0" xfId="2" applyBorder="1" applyAlignment="1">
      <alignment horizontal="right"/>
    </xf>
    <xf numFmtId="0" fontId="1" fillId="0" borderId="0" xfId="2" applyFont="1" applyBorder="1" applyAlignment="1"/>
    <xf numFmtId="0" fontId="1" fillId="0" borderId="0" xfId="2" applyFont="1"/>
    <xf numFmtId="0" fontId="1" fillId="0" borderId="0" xfId="2" applyFont="1" applyBorder="1" applyAlignment="1">
      <alignment horizontal="right"/>
    </xf>
    <xf numFmtId="0" fontId="1" fillId="0" borderId="0" xfId="2" applyFont="1" applyBorder="1" applyAlignment="1">
      <alignment horizontal="center"/>
    </xf>
    <xf numFmtId="0" fontId="1" fillId="0" borderId="0" xfId="2" applyBorder="1" applyAlignment="1">
      <alignment horizontal="center"/>
    </xf>
    <xf numFmtId="0" fontId="1" fillId="0" borderId="9" xfId="2" applyBorder="1" applyAlignment="1">
      <alignment horizontal="center"/>
    </xf>
    <xf numFmtId="0" fontId="4" fillId="0" borderId="0" xfId="0" applyNumberFormat="1" applyFont="1"/>
    <xf numFmtId="0" fontId="1" fillId="0" borderId="0" xfId="2" applyBorder="1"/>
    <xf numFmtId="0" fontId="4" fillId="0" borderId="0" xfId="2" applyFont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4" fillId="0" borderId="9" xfId="0" applyFont="1" applyBorder="1"/>
    <xf numFmtId="0" fontId="0" fillId="0" borderId="9" xfId="0" applyBorder="1"/>
    <xf numFmtId="0" fontId="0" fillId="0" borderId="9" xfId="0" applyFont="1" applyBorder="1"/>
    <xf numFmtId="18" fontId="0" fillId="2" borderId="0" xfId="0" applyNumberFormat="1" applyFill="1" applyProtection="1">
      <protection hidden="1"/>
    </xf>
    <xf numFmtId="164" fontId="3" fillId="2" borderId="0" xfId="0" applyNumberFormat="1" applyFont="1" applyFill="1" applyAlignment="1" applyProtection="1">
      <alignment horizontal="center"/>
      <protection hidden="1"/>
    </xf>
    <xf numFmtId="18" fontId="10" fillId="2" borderId="0" xfId="0" applyNumberFormat="1" applyFont="1" applyFill="1" applyProtection="1">
      <protection hidden="1"/>
    </xf>
    <xf numFmtId="0" fontId="10" fillId="2" borderId="0" xfId="0" applyFont="1" applyFill="1" applyProtection="1">
      <protection hidden="1"/>
    </xf>
    <xf numFmtId="0" fontId="0" fillId="4" borderId="0" xfId="0" applyFill="1"/>
    <xf numFmtId="16" fontId="0" fillId="0" borderId="0" xfId="0" applyNumberFormat="1"/>
    <xf numFmtId="169" fontId="0" fillId="0" borderId="0" xfId="0" applyNumberFormat="1"/>
    <xf numFmtId="0" fontId="4" fillId="4" borderId="0" xfId="0" applyFont="1" applyFill="1"/>
    <xf numFmtId="0" fontId="11" fillId="4" borderId="0" xfId="0" applyFont="1" applyFill="1"/>
    <xf numFmtId="0" fontId="1" fillId="0" borderId="30" xfId="2" applyBorder="1" applyAlignment="1">
      <alignment horizontal="center"/>
    </xf>
    <xf numFmtId="0" fontId="4" fillId="0" borderId="30" xfId="2" applyFont="1" applyBorder="1" applyAlignment="1">
      <alignment horizontal="center"/>
    </xf>
    <xf numFmtId="0" fontId="4" fillId="0" borderId="0" xfId="0" applyFont="1" applyFill="1" applyBorder="1"/>
    <xf numFmtId="0" fontId="13" fillId="6" borderId="1" xfId="0" applyFont="1" applyFill="1" applyBorder="1" applyAlignment="1" applyProtection="1">
      <alignment horizontal="center"/>
      <protection hidden="1"/>
    </xf>
    <xf numFmtId="0" fontId="13" fillId="6" borderId="28" xfId="0" applyFont="1" applyFill="1" applyBorder="1" applyAlignment="1" applyProtection="1">
      <alignment horizontal="center"/>
      <protection hidden="1"/>
    </xf>
    <xf numFmtId="0" fontId="13" fillId="6" borderId="2" xfId="0" applyFont="1" applyFill="1" applyBorder="1" applyAlignment="1" applyProtection="1">
      <alignment horizontal="center"/>
      <protection hidden="1"/>
    </xf>
    <xf numFmtId="16" fontId="0" fillId="7" borderId="27" xfId="0" applyNumberFormat="1" applyFill="1" applyBorder="1" applyProtection="1">
      <protection hidden="1"/>
    </xf>
    <xf numFmtId="20" fontId="0" fillId="7" borderId="0" xfId="0" applyNumberFormat="1" applyFill="1" applyBorder="1" applyProtection="1">
      <protection hidden="1"/>
    </xf>
    <xf numFmtId="0" fontId="0" fillId="7" borderId="0" xfId="0" applyFont="1" applyFill="1" applyBorder="1" applyAlignment="1" applyProtection="1">
      <alignment horizontal="right"/>
      <protection hidden="1"/>
    </xf>
    <xf numFmtId="0" fontId="0" fillId="7" borderId="0" xfId="0" applyFill="1" applyBorder="1" applyProtection="1">
      <protection hidden="1"/>
    </xf>
    <xf numFmtId="0" fontId="0" fillId="7" borderId="4" xfId="0" applyFill="1" applyBorder="1" applyAlignment="1" applyProtection="1">
      <alignment horizontal="right"/>
      <protection hidden="1"/>
    </xf>
    <xf numFmtId="16" fontId="0" fillId="7" borderId="26" xfId="0" applyNumberFormat="1" applyFill="1" applyBorder="1" applyProtection="1">
      <protection hidden="1"/>
    </xf>
    <xf numFmtId="0" fontId="0" fillId="7" borderId="29" xfId="0" applyFill="1" applyBorder="1" applyProtection="1">
      <protection hidden="1"/>
    </xf>
    <xf numFmtId="16" fontId="0" fillId="7" borderId="25" xfId="0" applyNumberFormat="1" applyFill="1" applyBorder="1" applyProtection="1">
      <protection hidden="1"/>
    </xf>
    <xf numFmtId="20" fontId="0" fillId="7" borderId="12" xfId="0" applyNumberFormat="1" applyFill="1" applyBorder="1" applyProtection="1">
      <protection hidden="1"/>
    </xf>
    <xf numFmtId="0" fontId="0" fillId="7" borderId="12" xfId="0" applyFont="1" applyFill="1" applyBorder="1" applyAlignment="1" applyProtection="1">
      <alignment horizontal="right"/>
      <protection hidden="1"/>
    </xf>
    <xf numFmtId="0" fontId="0" fillId="7" borderId="13" xfId="0" applyFill="1" applyBorder="1" applyAlignment="1" applyProtection="1">
      <alignment horizontal="right"/>
      <protection hidden="1"/>
    </xf>
    <xf numFmtId="20" fontId="0" fillId="7" borderId="14" xfId="0" applyNumberFormat="1" applyFill="1" applyBorder="1" applyProtection="1">
      <protection hidden="1"/>
    </xf>
    <xf numFmtId="0" fontId="0" fillId="7" borderId="14" xfId="0" applyFont="1" applyFill="1" applyBorder="1" applyAlignment="1" applyProtection="1">
      <alignment horizontal="right"/>
      <protection hidden="1"/>
    </xf>
    <xf numFmtId="0" fontId="0" fillId="7" borderId="15" xfId="0" applyFill="1" applyBorder="1" applyAlignment="1" applyProtection="1">
      <alignment horizontal="right"/>
      <protection hidden="1"/>
    </xf>
    <xf numFmtId="16" fontId="0" fillId="7" borderId="24" xfId="0" applyNumberFormat="1" applyFill="1" applyBorder="1" applyProtection="1">
      <protection hidden="1"/>
    </xf>
    <xf numFmtId="0" fontId="0" fillId="7" borderId="6" xfId="0" applyFill="1" applyBorder="1" applyAlignment="1" applyProtection="1">
      <alignment horizontal="right"/>
      <protection hidden="1"/>
    </xf>
    <xf numFmtId="0" fontId="0" fillId="7" borderId="10" xfId="0" applyFill="1" applyBorder="1" applyAlignment="1" applyProtection="1">
      <alignment horizontal="right"/>
      <protection hidden="1"/>
    </xf>
    <xf numFmtId="0" fontId="0" fillId="2" borderId="37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5" fillId="5" borderId="3" xfId="0" applyFont="1" applyFill="1" applyBorder="1" applyAlignment="1" applyProtection="1">
      <alignment horizontal="left"/>
      <protection hidden="1"/>
    </xf>
    <xf numFmtId="0" fontId="5" fillId="5" borderId="3" xfId="0" applyFont="1" applyFill="1" applyBorder="1" applyAlignment="1" applyProtection="1">
      <alignment horizontal="center"/>
      <protection hidden="1"/>
    </xf>
    <xf numFmtId="0" fontId="0" fillId="5" borderId="8" xfId="0" applyFill="1" applyBorder="1" applyAlignment="1" applyProtection="1">
      <protection hidden="1"/>
    </xf>
    <xf numFmtId="0" fontId="0" fillId="5" borderId="16" xfId="0" applyFill="1" applyBorder="1" applyAlignment="1" applyProtection="1">
      <protection hidden="1"/>
    </xf>
    <xf numFmtId="170" fontId="0" fillId="2" borderId="0" xfId="0" applyNumberFormat="1" applyFill="1" applyProtection="1">
      <protection hidden="1"/>
    </xf>
    <xf numFmtId="0" fontId="2" fillId="5" borderId="31" xfId="0" applyFont="1" applyFill="1" applyBorder="1" applyAlignment="1" applyProtection="1">
      <alignment horizontal="center"/>
      <protection locked="0"/>
    </xf>
    <xf numFmtId="0" fontId="2" fillId="5" borderId="32" xfId="0" applyFont="1" applyFill="1" applyBorder="1" applyAlignment="1" applyProtection="1">
      <alignment horizontal="center"/>
      <protection locked="0"/>
    </xf>
    <xf numFmtId="0" fontId="13" fillId="6" borderId="33" xfId="0" applyFont="1" applyFill="1" applyBorder="1" applyAlignment="1" applyProtection="1">
      <alignment horizontal="center"/>
      <protection hidden="1"/>
    </xf>
    <xf numFmtId="0" fontId="4" fillId="0" borderId="34" xfId="0" applyFont="1" applyFill="1" applyBorder="1" applyAlignment="1" applyProtection="1">
      <alignment horizontal="center"/>
      <protection hidden="1"/>
    </xf>
    <xf numFmtId="0" fontId="0" fillId="0" borderId="35" xfId="0" applyFill="1" applyBorder="1" applyAlignment="1" applyProtection="1">
      <alignment horizontal="center"/>
      <protection hidden="1"/>
    </xf>
    <xf numFmtId="0" fontId="0" fillId="0" borderId="36" xfId="0" applyFill="1" applyBorder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3" fillId="6" borderId="39" xfId="0" applyFont="1" applyFill="1" applyBorder="1" applyAlignment="1" applyProtection="1">
      <alignment horizontal="center"/>
      <protection hidden="1"/>
    </xf>
    <xf numFmtId="0" fontId="13" fillId="6" borderId="40" xfId="0" applyFont="1" applyFill="1" applyBorder="1" applyAlignment="1" applyProtection="1">
      <alignment horizontal="center"/>
      <protection hidden="1"/>
    </xf>
    <xf numFmtId="0" fontId="13" fillId="6" borderId="41" xfId="0" applyFont="1" applyFill="1" applyBorder="1" applyAlignment="1" applyProtection="1">
      <alignment horizontal="center"/>
      <protection hidden="1"/>
    </xf>
    <xf numFmtId="0" fontId="7" fillId="2" borderId="9" xfId="0" applyFont="1" applyFill="1" applyBorder="1" applyAlignment="1" applyProtection="1">
      <alignment horizontal="center"/>
      <protection hidden="1"/>
    </xf>
    <xf numFmtId="0" fontId="8" fillId="2" borderId="9" xfId="0" applyFont="1" applyFill="1" applyBorder="1" applyAlignment="1" applyProtection="1">
      <alignment horizontal="center"/>
      <protection hidden="1"/>
    </xf>
    <xf numFmtId="0" fontId="8" fillId="2" borderId="19" xfId="0" applyFont="1" applyFill="1" applyBorder="1" applyAlignment="1" applyProtection="1">
      <alignment horizontal="center"/>
      <protection hidden="1"/>
    </xf>
    <xf numFmtId="0" fontId="4" fillId="0" borderId="9" xfId="2" applyFont="1" applyBorder="1" applyAlignment="1">
      <alignment horizontal="center"/>
    </xf>
    <xf numFmtId="168" fontId="1" fillId="0" borderId="9" xfId="2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Normal_tabla_de_posiciones_sencilla_fin" xfId="2"/>
  </cellStyles>
  <dxfs count="24">
    <dxf>
      <fill>
        <patternFill patternType="solid">
          <fgColor indexed="26"/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6"/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6"/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6"/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6"/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6"/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6"/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6"/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3" Type="http://schemas.openxmlformats.org/officeDocument/2006/relationships/image" Target="../media/image12.jpeg"/><Relationship Id="rId7" Type="http://schemas.openxmlformats.org/officeDocument/2006/relationships/image" Target="../media/image16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15.jpeg"/><Relationship Id="rId5" Type="http://schemas.openxmlformats.org/officeDocument/2006/relationships/image" Target="../media/image14.jpeg"/><Relationship Id="rId10" Type="http://schemas.openxmlformats.org/officeDocument/2006/relationships/image" Target="../media/image11.png"/><Relationship Id="rId4" Type="http://schemas.openxmlformats.org/officeDocument/2006/relationships/image" Target="../media/image13.jpeg"/><Relationship Id="rId9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4.jpeg"/><Relationship Id="rId7" Type="http://schemas.openxmlformats.org/officeDocument/2006/relationships/image" Target="../media/image1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5" Type="http://schemas.openxmlformats.org/officeDocument/2006/relationships/image" Target="../media/image12.jpeg"/><Relationship Id="rId10" Type="http://schemas.openxmlformats.org/officeDocument/2006/relationships/image" Target="../media/image11.png"/><Relationship Id="rId4" Type="http://schemas.openxmlformats.org/officeDocument/2006/relationships/image" Target="../media/image6.jpeg"/><Relationship Id="rId9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3" Type="http://schemas.openxmlformats.org/officeDocument/2006/relationships/image" Target="../media/image4.jpeg"/><Relationship Id="rId7" Type="http://schemas.openxmlformats.org/officeDocument/2006/relationships/image" Target="../media/image10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10" Type="http://schemas.openxmlformats.org/officeDocument/2006/relationships/image" Target="../media/image11.png"/><Relationship Id="rId4" Type="http://schemas.openxmlformats.org/officeDocument/2006/relationships/image" Target="../media/image7.jpeg"/><Relationship Id="rId9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3" Type="http://schemas.openxmlformats.org/officeDocument/2006/relationships/image" Target="../media/image6.jpeg"/><Relationship Id="rId7" Type="http://schemas.openxmlformats.org/officeDocument/2006/relationships/image" Target="../media/image1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14.jpeg"/><Relationship Id="rId5" Type="http://schemas.openxmlformats.org/officeDocument/2006/relationships/image" Target="../media/image8.jpeg"/><Relationship Id="rId10" Type="http://schemas.openxmlformats.org/officeDocument/2006/relationships/image" Target="../media/image11.png"/><Relationship Id="rId4" Type="http://schemas.openxmlformats.org/officeDocument/2006/relationships/image" Target="../media/image13.jpeg"/><Relationship Id="rId9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3" Type="http://schemas.openxmlformats.org/officeDocument/2006/relationships/image" Target="../media/image12.jpeg"/><Relationship Id="rId7" Type="http://schemas.openxmlformats.org/officeDocument/2006/relationships/image" Target="../media/image16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15.jpeg"/><Relationship Id="rId5" Type="http://schemas.openxmlformats.org/officeDocument/2006/relationships/image" Target="../media/image14.jpeg"/><Relationship Id="rId10" Type="http://schemas.openxmlformats.org/officeDocument/2006/relationships/image" Target="../media/image11.png"/><Relationship Id="rId4" Type="http://schemas.openxmlformats.org/officeDocument/2006/relationships/image" Target="../media/image13.jpeg"/><Relationship Id="rId9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3" Type="http://schemas.openxmlformats.org/officeDocument/2006/relationships/image" Target="../media/image4.jpeg"/><Relationship Id="rId7" Type="http://schemas.openxmlformats.org/officeDocument/2006/relationships/image" Target="../media/image9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10" Type="http://schemas.openxmlformats.org/officeDocument/2006/relationships/image" Target="../media/image11.png"/><Relationship Id="rId4" Type="http://schemas.openxmlformats.org/officeDocument/2006/relationships/image" Target="../media/image6.jpeg"/><Relationship Id="rId9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3" Type="http://schemas.openxmlformats.org/officeDocument/2006/relationships/image" Target="../media/image12.jpeg"/><Relationship Id="rId7" Type="http://schemas.openxmlformats.org/officeDocument/2006/relationships/image" Target="../media/image10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15.jpeg"/><Relationship Id="rId5" Type="http://schemas.openxmlformats.org/officeDocument/2006/relationships/image" Target="../media/image14.jpeg"/><Relationship Id="rId10" Type="http://schemas.openxmlformats.org/officeDocument/2006/relationships/image" Target="../media/image18.png"/><Relationship Id="rId4" Type="http://schemas.openxmlformats.org/officeDocument/2006/relationships/image" Target="../media/image13.jpeg"/><Relationship Id="rId9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5</xdr:row>
      <xdr:rowOff>56900</xdr:rowOff>
    </xdr:from>
    <xdr:to>
      <xdr:col>7</xdr:col>
      <xdr:colOff>31293</xdr:colOff>
      <xdr:row>17</xdr:row>
      <xdr:rowOff>9525</xdr:rowOff>
    </xdr:to>
    <xdr:pic>
      <xdr:nvPicPr>
        <xdr:cNvPr id="6" name="5 Imagen" descr="http://www.gransabanavisual.com/noticias/ene_13/mascota-brasil-201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866525"/>
          <a:ext cx="1679118" cy="189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227607</xdr:colOff>
      <xdr:row>5</xdr:row>
      <xdr:rowOff>76200</xdr:rowOff>
    </xdr:from>
    <xdr:to>
      <xdr:col>9</xdr:col>
      <xdr:colOff>409575</xdr:colOff>
      <xdr:row>17</xdr:row>
      <xdr:rowOff>76200</xdr:rowOff>
    </xdr:to>
    <xdr:pic>
      <xdr:nvPicPr>
        <xdr:cNvPr id="7" name="6 Imagen" descr="http://www.gallaxys.cl/wp-content/uploads/2013/10/Mundial2014-0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1607" y="885825"/>
          <a:ext cx="1705968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376604</xdr:colOff>
      <xdr:row>5</xdr:row>
      <xdr:rowOff>38100</xdr:rowOff>
    </xdr:from>
    <xdr:to>
      <xdr:col>4</xdr:col>
      <xdr:colOff>361949</xdr:colOff>
      <xdr:row>25</xdr:row>
      <xdr:rowOff>152399</xdr:rowOff>
    </xdr:to>
    <xdr:pic>
      <xdr:nvPicPr>
        <xdr:cNvPr id="8" name="7 Imagen" descr="http://www.conmebol.com/sites/default/files/brasil_201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604" y="847725"/>
          <a:ext cx="3033345" cy="3505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52754</xdr:colOff>
      <xdr:row>5</xdr:row>
      <xdr:rowOff>152400</xdr:rowOff>
    </xdr:from>
    <xdr:to>
      <xdr:col>14</xdr:col>
      <xdr:colOff>38099</xdr:colOff>
      <xdr:row>26</xdr:row>
      <xdr:rowOff>104774</xdr:rowOff>
    </xdr:to>
    <xdr:pic>
      <xdr:nvPicPr>
        <xdr:cNvPr id="9" name="8 Imagen" descr="http://www.conmebol.com/sites/default/files/brasil_201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2754" y="962025"/>
          <a:ext cx="3033345" cy="3505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485775</xdr:colOff>
      <xdr:row>0</xdr:row>
      <xdr:rowOff>199775</xdr:rowOff>
    </xdr:from>
    <xdr:to>
      <xdr:col>16</xdr:col>
      <xdr:colOff>40818</xdr:colOff>
      <xdr:row>12</xdr:row>
      <xdr:rowOff>19050</xdr:rowOff>
    </xdr:to>
    <xdr:pic>
      <xdr:nvPicPr>
        <xdr:cNvPr id="16" name="15 Imagen" descr="http://www.gransabanavisual.com/noticias/ene_13/mascota-brasil-201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199775"/>
          <a:ext cx="1679118" cy="189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17</xdr:col>
      <xdr:colOff>27582</xdr:colOff>
      <xdr:row>0</xdr:row>
      <xdr:rowOff>190500</xdr:rowOff>
    </xdr:from>
    <xdr:to>
      <xdr:col>21</xdr:col>
      <xdr:colOff>180975</xdr:colOff>
      <xdr:row>12</xdr:row>
      <xdr:rowOff>57150</xdr:rowOff>
    </xdr:to>
    <xdr:pic>
      <xdr:nvPicPr>
        <xdr:cNvPr id="17" name="16 Imagen" descr="http://www.gallaxys.cl/wp-content/uploads/2013/10/Mundial2014-0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1157" y="190500"/>
          <a:ext cx="1705968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7</xdr:col>
      <xdr:colOff>142874</xdr:colOff>
      <xdr:row>36</xdr:row>
      <xdr:rowOff>43695</xdr:rowOff>
    </xdr:from>
    <xdr:to>
      <xdr:col>11</xdr:col>
      <xdr:colOff>618448</xdr:colOff>
      <xdr:row>44</xdr:row>
      <xdr:rowOff>8295</xdr:rowOff>
    </xdr:to>
    <xdr:pic>
      <xdr:nvPicPr>
        <xdr:cNvPr id="19" name="18 Imagen" descr="Recife - Arena Pernambuc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49" y="6111120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12</xdr:col>
      <xdr:colOff>38100</xdr:colOff>
      <xdr:row>27</xdr:row>
      <xdr:rowOff>152400</xdr:rowOff>
    </xdr:from>
    <xdr:to>
      <xdr:col>21</xdr:col>
      <xdr:colOff>95250</xdr:colOff>
      <xdr:row>42</xdr:row>
      <xdr:rowOff>114300</xdr:rowOff>
    </xdr:to>
    <xdr:pic>
      <xdr:nvPicPr>
        <xdr:cNvPr id="20" name="19 Imagen" descr="http://es.fifa.com/img/tournament/fwc/2014/stadium_grid4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4762500"/>
          <a:ext cx="3038475" cy="239077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3</xdr:col>
      <xdr:colOff>1143001</xdr:colOff>
      <xdr:row>34</xdr:row>
      <xdr:rowOff>81955</xdr:rowOff>
    </xdr:from>
    <xdr:to>
      <xdr:col>7</xdr:col>
      <xdr:colOff>8851</xdr:colOff>
      <xdr:row>42</xdr:row>
      <xdr:rowOff>46555</xdr:rowOff>
    </xdr:to>
    <xdr:pic>
      <xdr:nvPicPr>
        <xdr:cNvPr id="21" name="20 Imagen" descr="Estádio Nacional - Brasíl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6" y="5825530"/>
          <a:ext cx="2409150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6</xdr:col>
      <xdr:colOff>47624</xdr:colOff>
      <xdr:row>27</xdr:row>
      <xdr:rowOff>95309</xdr:rowOff>
    </xdr:from>
    <xdr:to>
      <xdr:col>11</xdr:col>
      <xdr:colOff>275549</xdr:colOff>
      <xdr:row>35</xdr:row>
      <xdr:rowOff>59909</xdr:rowOff>
    </xdr:to>
    <xdr:pic>
      <xdr:nvPicPr>
        <xdr:cNvPr id="22" name="21 Imagen" descr="Fortaleza - Castelã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49" y="4705409"/>
          <a:ext cx="2409150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1</xdr:col>
      <xdr:colOff>180974</xdr:colOff>
      <xdr:row>32</xdr:row>
      <xdr:rowOff>64660</xdr:rowOff>
    </xdr:from>
    <xdr:to>
      <xdr:col>3</xdr:col>
      <xdr:colOff>951823</xdr:colOff>
      <xdr:row>40</xdr:row>
      <xdr:rowOff>29260</xdr:rowOff>
    </xdr:to>
    <xdr:pic>
      <xdr:nvPicPr>
        <xdr:cNvPr id="23" name="22 Imagen" descr="Manaus - Arena da Amazônia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49" y="5484385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3</xdr:col>
      <xdr:colOff>805098</xdr:colOff>
      <xdr:row>25</xdr:row>
      <xdr:rowOff>104775</xdr:rowOff>
    </xdr:from>
    <xdr:to>
      <xdr:col>5</xdr:col>
      <xdr:colOff>994923</xdr:colOff>
      <xdr:row>33</xdr:row>
      <xdr:rowOff>69375</xdr:rowOff>
    </xdr:to>
    <xdr:pic>
      <xdr:nvPicPr>
        <xdr:cNvPr id="24" name="23 Imagen" descr="Natal - Estádio das Dunas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4873" y="4391025"/>
          <a:ext cx="2409150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0</xdr:col>
      <xdr:colOff>247649</xdr:colOff>
      <xdr:row>23</xdr:row>
      <xdr:rowOff>135805</xdr:rowOff>
    </xdr:from>
    <xdr:to>
      <xdr:col>3</xdr:col>
      <xdr:colOff>647024</xdr:colOff>
      <xdr:row>31</xdr:row>
      <xdr:rowOff>100405</xdr:rowOff>
    </xdr:to>
    <xdr:pic>
      <xdr:nvPicPr>
        <xdr:cNvPr id="25" name="24 Imagen" descr="Arena de São Paulo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4098205"/>
          <a:ext cx="2409150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0</xdr:col>
      <xdr:colOff>104775</xdr:colOff>
      <xdr:row>8</xdr:row>
      <xdr:rowOff>38100</xdr:rowOff>
    </xdr:from>
    <xdr:to>
      <xdr:col>2</xdr:col>
      <xdr:colOff>200025</xdr:colOff>
      <xdr:row>14</xdr:row>
      <xdr:rowOff>14288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66850"/>
          <a:ext cx="1276350" cy="957263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485775</xdr:colOff>
      <xdr:row>0</xdr:row>
      <xdr:rowOff>180725</xdr:rowOff>
    </xdr:from>
    <xdr:to>
      <xdr:col>16</xdr:col>
      <xdr:colOff>40818</xdr:colOff>
      <xdr:row>12</xdr:row>
      <xdr:rowOff>0</xdr:rowOff>
    </xdr:to>
    <xdr:pic>
      <xdr:nvPicPr>
        <xdr:cNvPr id="16" name="15 Imagen" descr="http://www.gransabanavisual.com/noticias/ene_13/mascota-brasil-201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180725"/>
          <a:ext cx="1679118" cy="189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17</xdr:col>
      <xdr:colOff>27582</xdr:colOff>
      <xdr:row>0</xdr:row>
      <xdr:rowOff>171450</xdr:rowOff>
    </xdr:from>
    <xdr:to>
      <xdr:col>21</xdr:col>
      <xdr:colOff>180975</xdr:colOff>
      <xdr:row>12</xdr:row>
      <xdr:rowOff>38100</xdr:rowOff>
    </xdr:to>
    <xdr:pic>
      <xdr:nvPicPr>
        <xdr:cNvPr id="17" name="16 Imagen" descr="http://www.gallaxys.cl/wp-content/uploads/2013/10/Mundial2014-0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4057" y="171450"/>
          <a:ext cx="1705968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3</xdr:col>
      <xdr:colOff>876298</xdr:colOff>
      <xdr:row>26</xdr:row>
      <xdr:rowOff>75163</xdr:rowOff>
    </xdr:from>
    <xdr:to>
      <xdr:col>5</xdr:col>
      <xdr:colOff>1066123</xdr:colOff>
      <xdr:row>34</xdr:row>
      <xdr:rowOff>39763</xdr:rowOff>
    </xdr:to>
    <xdr:pic>
      <xdr:nvPicPr>
        <xdr:cNvPr id="19" name="18 Imagen" descr="Cuiabá - Arena Panta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3" y="4532863"/>
          <a:ext cx="2409150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3</xdr:col>
      <xdr:colOff>1152525</xdr:colOff>
      <xdr:row>35</xdr:row>
      <xdr:rowOff>19049</xdr:rowOff>
    </xdr:from>
    <xdr:to>
      <xdr:col>7</xdr:col>
      <xdr:colOff>18374</xdr:colOff>
      <xdr:row>42</xdr:row>
      <xdr:rowOff>145574</xdr:rowOff>
    </xdr:to>
    <xdr:pic>
      <xdr:nvPicPr>
        <xdr:cNvPr id="20" name="19 Imagen" descr="Curitiba - Arena da Baixad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5934074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1</xdr:col>
      <xdr:colOff>247648</xdr:colOff>
      <xdr:row>33</xdr:row>
      <xdr:rowOff>17472</xdr:rowOff>
    </xdr:from>
    <xdr:to>
      <xdr:col>3</xdr:col>
      <xdr:colOff>1018498</xdr:colOff>
      <xdr:row>40</xdr:row>
      <xdr:rowOff>143997</xdr:rowOff>
    </xdr:to>
    <xdr:pic>
      <xdr:nvPicPr>
        <xdr:cNvPr id="21" name="20 Imagen" descr="Porto Alegre - Beira Ri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3" y="5608647"/>
          <a:ext cx="2409150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6</xdr:col>
      <xdr:colOff>150390</xdr:colOff>
      <xdr:row>28</xdr:row>
      <xdr:rowOff>66676</xdr:rowOff>
    </xdr:from>
    <xdr:to>
      <xdr:col>11</xdr:col>
      <xdr:colOff>378314</xdr:colOff>
      <xdr:row>36</xdr:row>
      <xdr:rowOff>31276</xdr:rowOff>
    </xdr:to>
    <xdr:pic>
      <xdr:nvPicPr>
        <xdr:cNvPr id="22" name="21 Imagen" descr="Rio de Janeiro - Maracanã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815" y="4848226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0</xdr:col>
      <xdr:colOff>314326</xdr:colOff>
      <xdr:row>24</xdr:row>
      <xdr:rowOff>85724</xdr:rowOff>
    </xdr:from>
    <xdr:to>
      <xdr:col>3</xdr:col>
      <xdr:colOff>713701</xdr:colOff>
      <xdr:row>32</xdr:row>
      <xdr:rowOff>50324</xdr:rowOff>
    </xdr:to>
    <xdr:pic>
      <xdr:nvPicPr>
        <xdr:cNvPr id="23" name="22 Imagen" descr="Salvador - Arena Fonte Nova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4219574"/>
          <a:ext cx="2409150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7</xdr:col>
      <xdr:colOff>219075</xdr:colOff>
      <xdr:row>37</xdr:row>
      <xdr:rowOff>9525</xdr:rowOff>
    </xdr:from>
    <xdr:to>
      <xdr:col>11</xdr:col>
      <xdr:colOff>694649</xdr:colOff>
      <xdr:row>44</xdr:row>
      <xdr:rowOff>136050</xdr:rowOff>
    </xdr:to>
    <xdr:pic>
      <xdr:nvPicPr>
        <xdr:cNvPr id="24" name="23 Imagen" descr="A 3D plan of the Mineirao stadium (Courtesy of Secopa-MG)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6248400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12</xdr:col>
      <xdr:colOff>28575</xdr:colOff>
      <xdr:row>28</xdr:row>
      <xdr:rowOff>0</xdr:rowOff>
    </xdr:from>
    <xdr:to>
      <xdr:col>21</xdr:col>
      <xdr:colOff>85725</xdr:colOff>
      <xdr:row>42</xdr:row>
      <xdr:rowOff>123825</xdr:rowOff>
    </xdr:to>
    <xdr:pic>
      <xdr:nvPicPr>
        <xdr:cNvPr id="25" name="24 Imagen" descr="http://es.fifa.com/img/tournament/fwc/2014/stadium_grid4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4781550"/>
          <a:ext cx="3038475" cy="239077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133350</xdr:colOff>
      <xdr:row>8</xdr:row>
      <xdr:rowOff>85725</xdr:rowOff>
    </xdr:from>
    <xdr:to>
      <xdr:col>2</xdr:col>
      <xdr:colOff>228600</xdr:colOff>
      <xdr:row>14</xdr:row>
      <xdr:rowOff>61913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514475"/>
          <a:ext cx="1276350" cy="957263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295275</xdr:colOff>
      <xdr:row>0</xdr:row>
      <xdr:rowOff>199775</xdr:rowOff>
    </xdr:from>
    <xdr:to>
      <xdr:col>14</xdr:col>
      <xdr:colOff>231318</xdr:colOff>
      <xdr:row>12</xdr:row>
      <xdr:rowOff>19050</xdr:rowOff>
    </xdr:to>
    <xdr:pic>
      <xdr:nvPicPr>
        <xdr:cNvPr id="16" name="15 Imagen" descr="http://www.gransabanavisual.com/noticias/ene_13/mascota-brasil-201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199775"/>
          <a:ext cx="1679118" cy="189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15</xdr:col>
      <xdr:colOff>218082</xdr:colOff>
      <xdr:row>0</xdr:row>
      <xdr:rowOff>190500</xdr:rowOff>
    </xdr:from>
    <xdr:to>
      <xdr:col>20</xdr:col>
      <xdr:colOff>561975</xdr:colOff>
      <xdr:row>12</xdr:row>
      <xdr:rowOff>57150</xdr:rowOff>
    </xdr:to>
    <xdr:pic>
      <xdr:nvPicPr>
        <xdr:cNvPr id="17" name="16 Imagen" descr="http://www.gallaxys.cl/wp-content/uploads/2013/10/Mundial2014-0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4057" y="190500"/>
          <a:ext cx="1705968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3</xdr:col>
      <xdr:colOff>942975</xdr:colOff>
      <xdr:row>25</xdr:row>
      <xdr:rowOff>142875</xdr:rowOff>
    </xdr:from>
    <xdr:to>
      <xdr:col>5</xdr:col>
      <xdr:colOff>1132799</xdr:colOff>
      <xdr:row>33</xdr:row>
      <xdr:rowOff>97950</xdr:rowOff>
    </xdr:to>
    <xdr:pic>
      <xdr:nvPicPr>
        <xdr:cNvPr id="19" name="18 Imagen" descr="Recife - Arena Pernambuc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438650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6</xdr:col>
      <xdr:colOff>133350</xdr:colOff>
      <xdr:row>27</xdr:row>
      <xdr:rowOff>104774</xdr:rowOff>
    </xdr:from>
    <xdr:to>
      <xdr:col>11</xdr:col>
      <xdr:colOff>266025</xdr:colOff>
      <xdr:row>35</xdr:row>
      <xdr:rowOff>69374</xdr:rowOff>
    </xdr:to>
    <xdr:pic>
      <xdr:nvPicPr>
        <xdr:cNvPr id="20" name="19 Imagen" descr="Estádio Nacional - Brasíli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733924"/>
          <a:ext cx="2409150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3</xdr:col>
      <xdr:colOff>1295400</xdr:colOff>
      <xdr:row>34</xdr:row>
      <xdr:rowOff>123824</xdr:rowOff>
    </xdr:from>
    <xdr:to>
      <xdr:col>7</xdr:col>
      <xdr:colOff>66000</xdr:colOff>
      <xdr:row>42</xdr:row>
      <xdr:rowOff>88424</xdr:rowOff>
    </xdr:to>
    <xdr:pic>
      <xdr:nvPicPr>
        <xdr:cNvPr id="21" name="20 Imagen" descr="Cuiabá - Arena Pantan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5886449"/>
          <a:ext cx="2409150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1</xdr:col>
      <xdr:colOff>352425</xdr:colOff>
      <xdr:row>32</xdr:row>
      <xdr:rowOff>123823</xdr:rowOff>
    </xdr:from>
    <xdr:to>
      <xdr:col>3</xdr:col>
      <xdr:colOff>1123274</xdr:colOff>
      <xdr:row>40</xdr:row>
      <xdr:rowOff>88423</xdr:rowOff>
    </xdr:to>
    <xdr:pic>
      <xdr:nvPicPr>
        <xdr:cNvPr id="22" name="21 Imagen" descr="Natal - Estádio das Dunas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562598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1</xdr:col>
      <xdr:colOff>19050</xdr:colOff>
      <xdr:row>24</xdr:row>
      <xdr:rowOff>0</xdr:rowOff>
    </xdr:from>
    <xdr:to>
      <xdr:col>3</xdr:col>
      <xdr:colOff>789899</xdr:colOff>
      <xdr:row>31</xdr:row>
      <xdr:rowOff>117000</xdr:rowOff>
    </xdr:to>
    <xdr:pic>
      <xdr:nvPicPr>
        <xdr:cNvPr id="23" name="22 Imagen" descr="A 3D plan of the Mineirao stadium (Courtesy of Secopa-MG)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133850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7</xdr:col>
      <xdr:colOff>190499</xdr:colOff>
      <xdr:row>36</xdr:row>
      <xdr:rowOff>123825</xdr:rowOff>
    </xdr:from>
    <xdr:to>
      <xdr:col>11</xdr:col>
      <xdr:colOff>570824</xdr:colOff>
      <xdr:row>44</xdr:row>
      <xdr:rowOff>88425</xdr:rowOff>
    </xdr:to>
    <xdr:pic>
      <xdr:nvPicPr>
        <xdr:cNvPr id="24" name="23 Imagen" descr="Fortaleza - Castelã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4" y="6210300"/>
          <a:ext cx="2409150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11</xdr:col>
      <xdr:colOff>828675</xdr:colOff>
      <xdr:row>27</xdr:row>
      <xdr:rowOff>142875</xdr:rowOff>
    </xdr:from>
    <xdr:to>
      <xdr:col>20</xdr:col>
      <xdr:colOff>476250</xdr:colOff>
      <xdr:row>42</xdr:row>
      <xdr:rowOff>104775</xdr:rowOff>
    </xdr:to>
    <xdr:pic>
      <xdr:nvPicPr>
        <xdr:cNvPr id="25" name="24 Imagen" descr="http://es.fifa.com/img/tournament/fwc/2014/stadium_grid4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4772025"/>
          <a:ext cx="3038475" cy="239077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123825</xdr:colOff>
      <xdr:row>8</xdr:row>
      <xdr:rowOff>47625</xdr:rowOff>
    </xdr:from>
    <xdr:to>
      <xdr:col>2</xdr:col>
      <xdr:colOff>219075</xdr:colOff>
      <xdr:row>14</xdr:row>
      <xdr:rowOff>23813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76375"/>
          <a:ext cx="1276350" cy="957263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381000</xdr:colOff>
      <xdr:row>0</xdr:row>
      <xdr:rowOff>171200</xdr:rowOff>
    </xdr:from>
    <xdr:to>
      <xdr:col>15</xdr:col>
      <xdr:colOff>221793</xdr:colOff>
      <xdr:row>11</xdr:row>
      <xdr:rowOff>152400</xdr:rowOff>
    </xdr:to>
    <xdr:pic>
      <xdr:nvPicPr>
        <xdr:cNvPr id="16" name="15 Imagen" descr="http://www.gransabanavisual.com/noticias/ene_13/mascota-brasil-201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171200"/>
          <a:ext cx="1679118" cy="189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16</xdr:col>
      <xdr:colOff>208557</xdr:colOff>
      <xdr:row>0</xdr:row>
      <xdr:rowOff>161925</xdr:rowOff>
    </xdr:from>
    <xdr:to>
      <xdr:col>21</xdr:col>
      <xdr:colOff>76200</xdr:colOff>
      <xdr:row>12</xdr:row>
      <xdr:rowOff>28575</xdr:rowOff>
    </xdr:to>
    <xdr:pic>
      <xdr:nvPicPr>
        <xdr:cNvPr id="17" name="16 Imagen" descr="http://www.gallaxys.cl/wp-content/uploads/2013/10/Mundial2014-0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9282" y="161925"/>
          <a:ext cx="1705968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228583</xdr:colOff>
      <xdr:row>32</xdr:row>
      <xdr:rowOff>133350</xdr:rowOff>
    </xdr:from>
    <xdr:to>
      <xdr:col>3</xdr:col>
      <xdr:colOff>999438</xdr:colOff>
      <xdr:row>40</xdr:row>
      <xdr:rowOff>97950</xdr:rowOff>
    </xdr:to>
    <xdr:pic>
      <xdr:nvPicPr>
        <xdr:cNvPr id="19" name="18 Imagen" descr="Recife - Arena Pernambuc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58" y="5572125"/>
          <a:ext cx="2409155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0</xdr:col>
      <xdr:colOff>247633</xdr:colOff>
      <xdr:row>24</xdr:row>
      <xdr:rowOff>38100</xdr:rowOff>
    </xdr:from>
    <xdr:to>
      <xdr:col>3</xdr:col>
      <xdr:colOff>647013</xdr:colOff>
      <xdr:row>31</xdr:row>
      <xdr:rowOff>155100</xdr:rowOff>
    </xdr:to>
    <xdr:pic>
      <xdr:nvPicPr>
        <xdr:cNvPr id="20" name="19 Imagen" descr="Fortaleza - Castelã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33" y="4171950"/>
          <a:ext cx="2409155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3</xdr:col>
      <xdr:colOff>800083</xdr:colOff>
      <xdr:row>26</xdr:row>
      <xdr:rowOff>9525</xdr:rowOff>
    </xdr:from>
    <xdr:to>
      <xdr:col>5</xdr:col>
      <xdr:colOff>989913</xdr:colOff>
      <xdr:row>33</xdr:row>
      <xdr:rowOff>126525</xdr:rowOff>
    </xdr:to>
    <xdr:pic>
      <xdr:nvPicPr>
        <xdr:cNvPr id="21" name="20 Imagen" descr="Manaus - Arena da Amazôn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58" y="4467225"/>
          <a:ext cx="2409155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3</xdr:col>
      <xdr:colOff>1133458</xdr:colOff>
      <xdr:row>34</xdr:row>
      <xdr:rowOff>133350</xdr:rowOff>
    </xdr:from>
    <xdr:to>
      <xdr:col>6</xdr:col>
      <xdr:colOff>246963</xdr:colOff>
      <xdr:row>42</xdr:row>
      <xdr:rowOff>97950</xdr:rowOff>
    </xdr:to>
    <xdr:pic>
      <xdr:nvPicPr>
        <xdr:cNvPr id="22" name="21 Imagen" descr="Natal - Estádio das Dunas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33" y="5895975"/>
          <a:ext cx="2409155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6</xdr:col>
      <xdr:colOff>66658</xdr:colOff>
      <xdr:row>27</xdr:row>
      <xdr:rowOff>133350</xdr:rowOff>
    </xdr:from>
    <xdr:to>
      <xdr:col>11</xdr:col>
      <xdr:colOff>294588</xdr:colOff>
      <xdr:row>35</xdr:row>
      <xdr:rowOff>97950</xdr:rowOff>
    </xdr:to>
    <xdr:pic>
      <xdr:nvPicPr>
        <xdr:cNvPr id="23" name="22 Imagen" descr="Arena de São Paul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083" y="4762500"/>
          <a:ext cx="2409155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7</xdr:col>
      <xdr:colOff>200009</xdr:colOff>
      <xdr:row>36</xdr:row>
      <xdr:rowOff>123825</xdr:rowOff>
    </xdr:from>
    <xdr:to>
      <xdr:col>11</xdr:col>
      <xdr:colOff>675589</xdr:colOff>
      <xdr:row>44</xdr:row>
      <xdr:rowOff>88425</xdr:rowOff>
    </xdr:to>
    <xdr:pic>
      <xdr:nvPicPr>
        <xdr:cNvPr id="24" name="23 Imagen" descr="A 3D plan of the Mineirao stadium (Courtesy of Secopa-MG)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084" y="6210300"/>
          <a:ext cx="2409155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12</xdr:col>
      <xdr:colOff>28575</xdr:colOff>
      <xdr:row>27</xdr:row>
      <xdr:rowOff>152400</xdr:rowOff>
    </xdr:from>
    <xdr:to>
      <xdr:col>21</xdr:col>
      <xdr:colOff>85725</xdr:colOff>
      <xdr:row>42</xdr:row>
      <xdr:rowOff>114300</xdr:rowOff>
    </xdr:to>
    <xdr:pic>
      <xdr:nvPicPr>
        <xdr:cNvPr id="25" name="24 Imagen" descr="http://es.fifa.com/img/tournament/fwc/2014/stadium_grid4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4781550"/>
          <a:ext cx="3038475" cy="239077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76200</xdr:colOff>
      <xdr:row>8</xdr:row>
      <xdr:rowOff>76200</xdr:rowOff>
    </xdr:from>
    <xdr:to>
      <xdr:col>2</xdr:col>
      <xdr:colOff>171450</xdr:colOff>
      <xdr:row>14</xdr:row>
      <xdr:rowOff>52388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04950"/>
          <a:ext cx="1276350" cy="957263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457200</xdr:colOff>
      <xdr:row>0</xdr:row>
      <xdr:rowOff>190250</xdr:rowOff>
    </xdr:from>
    <xdr:to>
      <xdr:col>16</xdr:col>
      <xdr:colOff>12243</xdr:colOff>
      <xdr:row>12</xdr:row>
      <xdr:rowOff>9525</xdr:rowOff>
    </xdr:to>
    <xdr:pic>
      <xdr:nvPicPr>
        <xdr:cNvPr id="16" name="15 Imagen" descr="http://www.gransabanavisual.com/noticias/ene_13/mascota-brasil-201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190250"/>
          <a:ext cx="1679118" cy="189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16</xdr:col>
      <xdr:colOff>284757</xdr:colOff>
      <xdr:row>0</xdr:row>
      <xdr:rowOff>180975</xdr:rowOff>
    </xdr:from>
    <xdr:to>
      <xdr:col>21</xdr:col>
      <xdr:colOff>152400</xdr:colOff>
      <xdr:row>12</xdr:row>
      <xdr:rowOff>47625</xdr:rowOff>
    </xdr:to>
    <xdr:pic>
      <xdr:nvPicPr>
        <xdr:cNvPr id="17" name="16 Imagen" descr="http://www.gallaxys.cl/wp-content/uploads/2013/10/Mundial2014-0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5482" y="180975"/>
          <a:ext cx="1705968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257175</xdr:colOff>
      <xdr:row>23</xdr:row>
      <xdr:rowOff>114299</xdr:rowOff>
    </xdr:from>
    <xdr:to>
      <xdr:col>3</xdr:col>
      <xdr:colOff>656550</xdr:colOff>
      <xdr:row>31</xdr:row>
      <xdr:rowOff>59849</xdr:rowOff>
    </xdr:to>
    <xdr:pic>
      <xdr:nvPicPr>
        <xdr:cNvPr id="19" name="18 Imagen" descr="Estádio Nacional - Brasíli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076699"/>
          <a:ext cx="2409150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1</xdr:col>
      <xdr:colOff>219075</xdr:colOff>
      <xdr:row>32</xdr:row>
      <xdr:rowOff>19049</xdr:rowOff>
    </xdr:from>
    <xdr:to>
      <xdr:col>3</xdr:col>
      <xdr:colOff>989924</xdr:colOff>
      <xdr:row>39</xdr:row>
      <xdr:rowOff>145574</xdr:rowOff>
    </xdr:to>
    <xdr:pic>
      <xdr:nvPicPr>
        <xdr:cNvPr id="20" name="19 Imagen" descr="Curitiba - Arena da Baixad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457824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3</xdr:col>
      <xdr:colOff>1152525</xdr:colOff>
      <xdr:row>34</xdr:row>
      <xdr:rowOff>47625</xdr:rowOff>
    </xdr:from>
    <xdr:to>
      <xdr:col>7</xdr:col>
      <xdr:colOff>18374</xdr:colOff>
      <xdr:row>42</xdr:row>
      <xdr:rowOff>12225</xdr:rowOff>
    </xdr:to>
    <xdr:pic>
      <xdr:nvPicPr>
        <xdr:cNvPr id="21" name="20 Imagen" descr="Manaus - Arena da Amazôn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5810250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3</xdr:col>
      <xdr:colOff>790574</xdr:colOff>
      <xdr:row>25</xdr:row>
      <xdr:rowOff>85725</xdr:rowOff>
    </xdr:from>
    <xdr:to>
      <xdr:col>5</xdr:col>
      <xdr:colOff>980399</xdr:colOff>
      <xdr:row>33</xdr:row>
      <xdr:rowOff>40800</xdr:rowOff>
    </xdr:to>
    <xdr:pic>
      <xdr:nvPicPr>
        <xdr:cNvPr id="22" name="21 Imagen" descr="Porto Alegre - Beira Ri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49" y="4381500"/>
          <a:ext cx="2409150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7</xdr:col>
      <xdr:colOff>190500</xdr:colOff>
      <xdr:row>36</xdr:row>
      <xdr:rowOff>19050</xdr:rowOff>
    </xdr:from>
    <xdr:to>
      <xdr:col>11</xdr:col>
      <xdr:colOff>666074</xdr:colOff>
      <xdr:row>43</xdr:row>
      <xdr:rowOff>145575</xdr:rowOff>
    </xdr:to>
    <xdr:pic>
      <xdr:nvPicPr>
        <xdr:cNvPr id="23" name="22 Imagen" descr="Rio de Janeiro - Maracanã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105525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6</xdr:col>
      <xdr:colOff>57150</xdr:colOff>
      <xdr:row>27</xdr:row>
      <xdr:rowOff>38099</xdr:rowOff>
    </xdr:from>
    <xdr:to>
      <xdr:col>11</xdr:col>
      <xdr:colOff>285075</xdr:colOff>
      <xdr:row>35</xdr:row>
      <xdr:rowOff>2699</xdr:rowOff>
    </xdr:to>
    <xdr:pic>
      <xdr:nvPicPr>
        <xdr:cNvPr id="24" name="23 Imagen" descr="Salvador - Arena Fonte Nova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67249"/>
          <a:ext cx="2409150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12</xdr:col>
      <xdr:colOff>28575</xdr:colOff>
      <xdr:row>27</xdr:row>
      <xdr:rowOff>142875</xdr:rowOff>
    </xdr:from>
    <xdr:to>
      <xdr:col>21</xdr:col>
      <xdr:colOff>85725</xdr:colOff>
      <xdr:row>42</xdr:row>
      <xdr:rowOff>104775</xdr:rowOff>
    </xdr:to>
    <xdr:pic>
      <xdr:nvPicPr>
        <xdr:cNvPr id="25" name="24 Imagen" descr="http://es.fifa.com/img/tournament/fwc/2014/stadium_grid4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4772025"/>
          <a:ext cx="3038475" cy="239077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180975</xdr:colOff>
      <xdr:row>7</xdr:row>
      <xdr:rowOff>114300</xdr:rowOff>
    </xdr:from>
    <xdr:to>
      <xdr:col>2</xdr:col>
      <xdr:colOff>276225</xdr:colOff>
      <xdr:row>13</xdr:row>
      <xdr:rowOff>90488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381125"/>
          <a:ext cx="1276350" cy="957263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447675</xdr:colOff>
      <xdr:row>0</xdr:row>
      <xdr:rowOff>171200</xdr:rowOff>
    </xdr:from>
    <xdr:to>
      <xdr:col>16</xdr:col>
      <xdr:colOff>2718</xdr:colOff>
      <xdr:row>11</xdr:row>
      <xdr:rowOff>152400</xdr:rowOff>
    </xdr:to>
    <xdr:pic>
      <xdr:nvPicPr>
        <xdr:cNvPr id="16" name="15 Imagen" descr="http://www.gransabanavisual.com/noticias/ene_13/mascota-brasil-201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71200"/>
          <a:ext cx="1679118" cy="189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16</xdr:col>
      <xdr:colOff>275232</xdr:colOff>
      <xdr:row>0</xdr:row>
      <xdr:rowOff>161925</xdr:rowOff>
    </xdr:from>
    <xdr:to>
      <xdr:col>21</xdr:col>
      <xdr:colOff>142875</xdr:colOff>
      <xdr:row>12</xdr:row>
      <xdr:rowOff>28575</xdr:rowOff>
    </xdr:to>
    <xdr:pic>
      <xdr:nvPicPr>
        <xdr:cNvPr id="17" name="16 Imagen" descr="http://www.gallaxys.cl/wp-content/uploads/2013/10/Mundial2014-0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5957" y="161925"/>
          <a:ext cx="1705968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333376</xdr:colOff>
      <xdr:row>32</xdr:row>
      <xdr:rowOff>85725</xdr:rowOff>
    </xdr:from>
    <xdr:to>
      <xdr:col>3</xdr:col>
      <xdr:colOff>1104225</xdr:colOff>
      <xdr:row>40</xdr:row>
      <xdr:rowOff>50325</xdr:rowOff>
    </xdr:to>
    <xdr:pic>
      <xdr:nvPicPr>
        <xdr:cNvPr id="19" name="18 Imagen" descr="Cuiabá - Arena Panta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1" y="5524500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3</xdr:col>
      <xdr:colOff>914400</xdr:colOff>
      <xdr:row>25</xdr:row>
      <xdr:rowOff>114299</xdr:rowOff>
    </xdr:from>
    <xdr:to>
      <xdr:col>6</xdr:col>
      <xdr:colOff>27899</xdr:colOff>
      <xdr:row>33</xdr:row>
      <xdr:rowOff>69374</xdr:rowOff>
    </xdr:to>
    <xdr:pic>
      <xdr:nvPicPr>
        <xdr:cNvPr id="20" name="19 Imagen" descr="Curitiba - Arena da Baixad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410074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3</xdr:col>
      <xdr:colOff>1228724</xdr:colOff>
      <xdr:row>34</xdr:row>
      <xdr:rowOff>76200</xdr:rowOff>
    </xdr:from>
    <xdr:to>
      <xdr:col>7</xdr:col>
      <xdr:colOff>94574</xdr:colOff>
      <xdr:row>42</xdr:row>
      <xdr:rowOff>40800</xdr:rowOff>
    </xdr:to>
    <xdr:pic>
      <xdr:nvPicPr>
        <xdr:cNvPr id="21" name="20 Imagen" descr="Porto Alegre - Beira Ri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9" y="5838825"/>
          <a:ext cx="2409150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1</xdr:col>
      <xdr:colOff>9525</xdr:colOff>
      <xdr:row>23</xdr:row>
      <xdr:rowOff>161925</xdr:rowOff>
    </xdr:from>
    <xdr:to>
      <xdr:col>3</xdr:col>
      <xdr:colOff>780374</xdr:colOff>
      <xdr:row>31</xdr:row>
      <xdr:rowOff>107475</xdr:rowOff>
    </xdr:to>
    <xdr:pic>
      <xdr:nvPicPr>
        <xdr:cNvPr id="22" name="21 Imagen" descr="Rio de Janeiro - Maracanã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24325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7</xdr:col>
      <xdr:colOff>257175</xdr:colOff>
      <xdr:row>36</xdr:row>
      <xdr:rowOff>76199</xdr:rowOff>
    </xdr:from>
    <xdr:to>
      <xdr:col>11</xdr:col>
      <xdr:colOff>732750</xdr:colOff>
      <xdr:row>44</xdr:row>
      <xdr:rowOff>40799</xdr:rowOff>
    </xdr:to>
    <xdr:pic>
      <xdr:nvPicPr>
        <xdr:cNvPr id="23" name="22 Imagen" descr="Salvador - Arena Fonte Nova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6162674"/>
          <a:ext cx="2409150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6</xdr:col>
      <xdr:colOff>200025</xdr:colOff>
      <xdr:row>27</xdr:row>
      <xdr:rowOff>95250</xdr:rowOff>
    </xdr:from>
    <xdr:to>
      <xdr:col>11</xdr:col>
      <xdr:colOff>427949</xdr:colOff>
      <xdr:row>35</xdr:row>
      <xdr:rowOff>59850</xdr:rowOff>
    </xdr:to>
    <xdr:pic>
      <xdr:nvPicPr>
        <xdr:cNvPr id="24" name="23 Imagen" descr="A 3D plan of the Mineirao stadium (Courtesy of Secopa-MG)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4724400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12</xdr:col>
      <xdr:colOff>38100</xdr:colOff>
      <xdr:row>27</xdr:row>
      <xdr:rowOff>142875</xdr:rowOff>
    </xdr:from>
    <xdr:to>
      <xdr:col>21</xdr:col>
      <xdr:colOff>95250</xdr:colOff>
      <xdr:row>42</xdr:row>
      <xdr:rowOff>104775</xdr:rowOff>
    </xdr:to>
    <xdr:pic>
      <xdr:nvPicPr>
        <xdr:cNvPr id="25" name="24 Imagen" descr="http://es.fifa.com/img/tournament/fwc/2014/stadium_grid4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4772025"/>
          <a:ext cx="3038475" cy="239077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142875</xdr:colOff>
      <xdr:row>8</xdr:row>
      <xdr:rowOff>0</xdr:rowOff>
    </xdr:from>
    <xdr:to>
      <xdr:col>2</xdr:col>
      <xdr:colOff>238125</xdr:colOff>
      <xdr:row>13</xdr:row>
      <xdr:rowOff>138113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0"/>
          <a:ext cx="1276350" cy="957263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466725</xdr:colOff>
      <xdr:row>0</xdr:row>
      <xdr:rowOff>247400</xdr:rowOff>
    </xdr:from>
    <xdr:to>
      <xdr:col>16</xdr:col>
      <xdr:colOff>21768</xdr:colOff>
      <xdr:row>12</xdr:row>
      <xdr:rowOff>66675</xdr:rowOff>
    </xdr:to>
    <xdr:pic>
      <xdr:nvPicPr>
        <xdr:cNvPr id="16" name="15 Imagen" descr="http://www.gransabanavisual.com/noticias/ene_13/mascota-brasil-201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247400"/>
          <a:ext cx="1679118" cy="189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17</xdr:col>
      <xdr:colOff>8532</xdr:colOff>
      <xdr:row>0</xdr:row>
      <xdr:rowOff>238125</xdr:rowOff>
    </xdr:from>
    <xdr:to>
      <xdr:col>21</xdr:col>
      <xdr:colOff>161925</xdr:colOff>
      <xdr:row>12</xdr:row>
      <xdr:rowOff>104775</xdr:rowOff>
    </xdr:to>
    <xdr:pic>
      <xdr:nvPicPr>
        <xdr:cNvPr id="17" name="16 Imagen" descr="http://www.gallaxys.cl/wp-content/uploads/2013/10/Mundial2014-0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007" y="238125"/>
          <a:ext cx="1705968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3</xdr:col>
      <xdr:colOff>1238250</xdr:colOff>
      <xdr:row>34</xdr:row>
      <xdr:rowOff>142875</xdr:rowOff>
    </xdr:from>
    <xdr:to>
      <xdr:col>7</xdr:col>
      <xdr:colOff>104099</xdr:colOff>
      <xdr:row>42</xdr:row>
      <xdr:rowOff>107475</xdr:rowOff>
    </xdr:to>
    <xdr:pic>
      <xdr:nvPicPr>
        <xdr:cNvPr id="19" name="18 Imagen" descr="Recife - Arena Pernambuc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5905500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7</xdr:col>
      <xdr:colOff>276225</xdr:colOff>
      <xdr:row>36</xdr:row>
      <xdr:rowOff>95249</xdr:rowOff>
    </xdr:from>
    <xdr:to>
      <xdr:col>11</xdr:col>
      <xdr:colOff>751800</xdr:colOff>
      <xdr:row>44</xdr:row>
      <xdr:rowOff>59849</xdr:rowOff>
    </xdr:to>
    <xdr:pic>
      <xdr:nvPicPr>
        <xdr:cNvPr id="20" name="19 Imagen" descr="Estádio Nacional - Brasíli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6181724"/>
          <a:ext cx="2409150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6</xdr:col>
      <xdr:colOff>180974</xdr:colOff>
      <xdr:row>28</xdr:row>
      <xdr:rowOff>9525</xdr:rowOff>
    </xdr:from>
    <xdr:to>
      <xdr:col>11</xdr:col>
      <xdr:colOff>408899</xdr:colOff>
      <xdr:row>35</xdr:row>
      <xdr:rowOff>136050</xdr:rowOff>
    </xdr:to>
    <xdr:pic>
      <xdr:nvPicPr>
        <xdr:cNvPr id="21" name="20 Imagen" descr="Fortaleza - Castelã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399" y="4800600"/>
          <a:ext cx="2409150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1</xdr:col>
      <xdr:colOff>314325</xdr:colOff>
      <xdr:row>32</xdr:row>
      <xdr:rowOff>152400</xdr:rowOff>
    </xdr:from>
    <xdr:to>
      <xdr:col>3</xdr:col>
      <xdr:colOff>1085174</xdr:colOff>
      <xdr:row>40</xdr:row>
      <xdr:rowOff>117000</xdr:rowOff>
    </xdr:to>
    <xdr:pic>
      <xdr:nvPicPr>
        <xdr:cNvPr id="22" name="21 Imagen" descr="Manaus - Arena da Amazôni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591175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3</xdr:col>
      <xdr:colOff>933450</xdr:colOff>
      <xdr:row>26</xdr:row>
      <xdr:rowOff>28574</xdr:rowOff>
    </xdr:from>
    <xdr:to>
      <xdr:col>6</xdr:col>
      <xdr:colOff>46949</xdr:colOff>
      <xdr:row>33</xdr:row>
      <xdr:rowOff>145574</xdr:rowOff>
    </xdr:to>
    <xdr:pic>
      <xdr:nvPicPr>
        <xdr:cNvPr id="23" name="22 Imagen" descr="Natal - Estádio das Dunas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4486274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1</xdr:col>
      <xdr:colOff>19050</xdr:colOff>
      <xdr:row>24</xdr:row>
      <xdr:rowOff>38099</xdr:rowOff>
    </xdr:from>
    <xdr:to>
      <xdr:col>3</xdr:col>
      <xdr:colOff>789900</xdr:colOff>
      <xdr:row>31</xdr:row>
      <xdr:rowOff>155099</xdr:rowOff>
    </xdr:to>
    <xdr:pic>
      <xdr:nvPicPr>
        <xdr:cNvPr id="24" name="23 Imagen" descr="Salvador - Arena Fonte Nova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171949"/>
          <a:ext cx="2409150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12</xdr:col>
      <xdr:colOff>28575</xdr:colOff>
      <xdr:row>27</xdr:row>
      <xdr:rowOff>142875</xdr:rowOff>
    </xdr:from>
    <xdr:to>
      <xdr:col>21</xdr:col>
      <xdr:colOff>85725</xdr:colOff>
      <xdr:row>42</xdr:row>
      <xdr:rowOff>104775</xdr:rowOff>
    </xdr:to>
    <xdr:pic>
      <xdr:nvPicPr>
        <xdr:cNvPr id="25" name="24 Imagen" descr="http://es.fifa.com/img/tournament/fwc/2014/stadium_grid4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4772025"/>
          <a:ext cx="3038475" cy="239077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142875</xdr:colOff>
      <xdr:row>8</xdr:row>
      <xdr:rowOff>28575</xdr:rowOff>
    </xdr:from>
    <xdr:to>
      <xdr:col>2</xdr:col>
      <xdr:colOff>238125</xdr:colOff>
      <xdr:row>14</xdr:row>
      <xdr:rowOff>4763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57325"/>
          <a:ext cx="1276350" cy="957263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0</xdr:row>
      <xdr:rowOff>180725</xdr:rowOff>
    </xdr:from>
    <xdr:to>
      <xdr:col>15</xdr:col>
      <xdr:colOff>250368</xdr:colOff>
      <xdr:row>12</xdr:row>
      <xdr:rowOff>0</xdr:rowOff>
    </xdr:to>
    <xdr:pic>
      <xdr:nvPicPr>
        <xdr:cNvPr id="16" name="15 Imagen" descr="http://www.gransabanavisual.com/noticias/ene_13/mascota-brasil-201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180725"/>
          <a:ext cx="1679118" cy="1895725"/>
        </a:xfrm>
        <a:prstGeom prst="rect">
          <a:avLst/>
        </a:prstGeom>
        <a:noFill/>
      </xdr:spPr>
    </xdr:pic>
    <xdr:clientData/>
  </xdr:twoCellAnchor>
  <xdr:twoCellAnchor editAs="absolute">
    <xdr:from>
      <xdr:col>16</xdr:col>
      <xdr:colOff>237132</xdr:colOff>
      <xdr:row>0</xdr:row>
      <xdr:rowOff>171450</xdr:rowOff>
    </xdr:from>
    <xdr:to>
      <xdr:col>21</xdr:col>
      <xdr:colOff>104775</xdr:colOff>
      <xdr:row>12</xdr:row>
      <xdr:rowOff>38100</xdr:rowOff>
    </xdr:to>
    <xdr:pic>
      <xdr:nvPicPr>
        <xdr:cNvPr id="17" name="16 Imagen" descr="http://www.gallaxys.cl/wp-content/uploads/2013/10/Mundial2014-0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7857" y="171450"/>
          <a:ext cx="1705968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3</xdr:col>
      <xdr:colOff>877950</xdr:colOff>
      <xdr:row>26</xdr:row>
      <xdr:rowOff>123826</xdr:rowOff>
    </xdr:from>
    <xdr:to>
      <xdr:col>5</xdr:col>
      <xdr:colOff>1067774</xdr:colOff>
      <xdr:row>34</xdr:row>
      <xdr:rowOff>78901</xdr:rowOff>
    </xdr:to>
    <xdr:pic>
      <xdr:nvPicPr>
        <xdr:cNvPr id="19" name="18 Imagen" descr="Cuiabá - Arena Panta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7725" y="4581526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7</xdr:col>
      <xdr:colOff>228600</xdr:colOff>
      <xdr:row>37</xdr:row>
      <xdr:rowOff>47624</xdr:rowOff>
    </xdr:from>
    <xdr:to>
      <xdr:col>11</xdr:col>
      <xdr:colOff>704174</xdr:colOff>
      <xdr:row>45</xdr:row>
      <xdr:rowOff>12224</xdr:rowOff>
    </xdr:to>
    <xdr:pic>
      <xdr:nvPicPr>
        <xdr:cNvPr id="20" name="19 Imagen" descr="Curitiba - Arena da Baixad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6296024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1</xdr:col>
      <xdr:colOff>295274</xdr:colOff>
      <xdr:row>33</xdr:row>
      <xdr:rowOff>66675</xdr:rowOff>
    </xdr:from>
    <xdr:to>
      <xdr:col>3</xdr:col>
      <xdr:colOff>1066124</xdr:colOff>
      <xdr:row>41</xdr:row>
      <xdr:rowOff>31275</xdr:rowOff>
    </xdr:to>
    <xdr:pic>
      <xdr:nvPicPr>
        <xdr:cNvPr id="21" name="20 Imagen" descr="Porto Alegre - Beira Ri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9" y="5667375"/>
          <a:ext cx="2409150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6</xdr:col>
      <xdr:colOff>133350</xdr:colOff>
      <xdr:row>28</xdr:row>
      <xdr:rowOff>76200</xdr:rowOff>
    </xdr:from>
    <xdr:to>
      <xdr:col>11</xdr:col>
      <xdr:colOff>361274</xdr:colOff>
      <xdr:row>36</xdr:row>
      <xdr:rowOff>40800</xdr:rowOff>
    </xdr:to>
    <xdr:pic>
      <xdr:nvPicPr>
        <xdr:cNvPr id="22" name="21 Imagen" descr="Rio de Janeiro - Maracanã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4867275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3</xdr:col>
      <xdr:colOff>1200149</xdr:colOff>
      <xdr:row>35</xdr:row>
      <xdr:rowOff>76200</xdr:rowOff>
    </xdr:from>
    <xdr:to>
      <xdr:col>7</xdr:col>
      <xdr:colOff>65999</xdr:colOff>
      <xdr:row>43</xdr:row>
      <xdr:rowOff>40800</xdr:rowOff>
    </xdr:to>
    <xdr:pic>
      <xdr:nvPicPr>
        <xdr:cNvPr id="23" name="22 Imagen" descr="Arena de São Paul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4" y="6000750"/>
          <a:ext cx="2409150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0</xdr:col>
      <xdr:colOff>333375</xdr:colOff>
      <xdr:row>25</xdr:row>
      <xdr:rowOff>59</xdr:rowOff>
    </xdr:from>
    <xdr:to>
      <xdr:col>3</xdr:col>
      <xdr:colOff>732749</xdr:colOff>
      <xdr:row>32</xdr:row>
      <xdr:rowOff>117059</xdr:rowOff>
    </xdr:to>
    <xdr:pic>
      <xdr:nvPicPr>
        <xdr:cNvPr id="24" name="23 Imagen" descr="A 3D plan of the Mineirao stadium (Courtesy of Secopa-MG)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295834"/>
          <a:ext cx="2409149" cy="1260000"/>
        </a:xfrm>
        <a:prstGeom prst="snip2DiagRect">
          <a:avLst>
            <a:gd name="adj1" fmla="val 0"/>
            <a:gd name="adj2" fmla="val 23470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absolute">
    <xdr:from>
      <xdr:col>12</xdr:col>
      <xdr:colOff>38100</xdr:colOff>
      <xdr:row>28</xdr:row>
      <xdr:rowOff>9525</xdr:rowOff>
    </xdr:from>
    <xdr:to>
      <xdr:col>21</xdr:col>
      <xdr:colOff>95250</xdr:colOff>
      <xdr:row>42</xdr:row>
      <xdr:rowOff>133350</xdr:rowOff>
    </xdr:to>
    <xdr:pic>
      <xdr:nvPicPr>
        <xdr:cNvPr id="25" name="24 Imagen" descr="http://es.fifa.com/img/tournament/fwc/2014/stadium_grid4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4800600"/>
          <a:ext cx="3038475" cy="239077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114300</xdr:colOff>
      <xdr:row>7</xdr:row>
      <xdr:rowOff>28574</xdr:rowOff>
    </xdr:from>
    <xdr:to>
      <xdr:col>2</xdr:col>
      <xdr:colOff>317501</xdr:colOff>
      <xdr:row>13</xdr:row>
      <xdr:rowOff>85725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95399"/>
          <a:ext cx="1384301" cy="1038226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319583</xdr:colOff>
      <xdr:row>8</xdr:row>
      <xdr:rowOff>44823</xdr:rowOff>
    </xdr:from>
    <xdr:to>
      <xdr:col>14</xdr:col>
      <xdr:colOff>254287</xdr:colOff>
      <xdr:row>24</xdr:row>
      <xdr:rowOff>100853</xdr:rowOff>
    </xdr:to>
    <xdr:pic>
      <xdr:nvPicPr>
        <xdr:cNvPr id="3" name="2 Imagen" descr="http://www.conmebol.com/sites/default/files/brasil_201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5818" y="1400735"/>
          <a:ext cx="2220704" cy="2566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F5:AA24"/>
  <sheetViews>
    <sheetView topLeftCell="A7" workbookViewId="0">
      <selection activeCell="F24" sqref="F24:G24"/>
    </sheetView>
  </sheetViews>
  <sheetFormatPr defaultColWidth="11.42578125" defaultRowHeight="12.75" x14ac:dyDescent="0.2"/>
  <cols>
    <col min="1" max="16384" width="11.42578125" style="60"/>
  </cols>
  <sheetData>
    <row r="5" spans="27:27" x14ac:dyDescent="0.2">
      <c r="AA5" s="64" t="s">
        <v>5</v>
      </c>
    </row>
    <row r="6" spans="27:27" x14ac:dyDescent="0.2">
      <c r="AA6" s="64" t="s">
        <v>83</v>
      </c>
    </row>
    <row r="7" spans="27:27" x14ac:dyDescent="0.2">
      <c r="AA7" s="64" t="s">
        <v>47</v>
      </c>
    </row>
    <row r="8" spans="27:27" x14ac:dyDescent="0.2">
      <c r="AA8" s="64" t="s">
        <v>57</v>
      </c>
    </row>
    <row r="9" spans="27:27" x14ac:dyDescent="0.2">
      <c r="AA9" s="64" t="s">
        <v>81</v>
      </c>
    </row>
    <row r="10" spans="27:27" x14ac:dyDescent="0.2">
      <c r="AA10" s="64" t="s">
        <v>82</v>
      </c>
    </row>
    <row r="11" spans="27:27" x14ac:dyDescent="0.2">
      <c r="AA11" s="64" t="s">
        <v>50</v>
      </c>
    </row>
    <row r="12" spans="27:27" x14ac:dyDescent="0.2">
      <c r="AA12" s="64" t="s">
        <v>35</v>
      </c>
    </row>
    <row r="13" spans="27:27" x14ac:dyDescent="0.2">
      <c r="AA13" s="64" t="s">
        <v>37</v>
      </c>
    </row>
    <row r="14" spans="27:27" x14ac:dyDescent="0.2">
      <c r="AA14" s="64" t="s">
        <v>80</v>
      </c>
    </row>
    <row r="15" spans="27:27" x14ac:dyDescent="0.2">
      <c r="AA15" s="64" t="s">
        <v>21</v>
      </c>
    </row>
    <row r="16" spans="27:27" x14ac:dyDescent="0.2">
      <c r="AA16" s="64" t="s">
        <v>39</v>
      </c>
    </row>
    <row r="17" spans="6:27" x14ac:dyDescent="0.2">
      <c r="AA17" s="64" t="s">
        <v>86</v>
      </c>
    </row>
    <row r="22" spans="6:27" x14ac:dyDescent="0.2">
      <c r="F22" s="63" t="s">
        <v>85</v>
      </c>
    </row>
    <row r="23" spans="6:27" ht="13.5" thickBot="1" x14ac:dyDescent="0.25"/>
    <row r="24" spans="6:27" ht="24" thickBot="1" x14ac:dyDescent="0.4">
      <c r="F24" s="97" t="s">
        <v>50</v>
      </c>
      <c r="G24" s="98"/>
    </row>
  </sheetData>
  <customSheetViews>
    <customSheetView guid="{95E402C5-2143-4FCF-AAA0-B9B99670355B}" state="hidden" topLeftCell="A7">
      <selection activeCell="F24" sqref="F24:G24"/>
      <pageMargins left="0.7" right="0.7" top="0.75" bottom="0.75" header="0.3" footer="0.3"/>
    </customSheetView>
  </customSheetViews>
  <mergeCells count="1">
    <mergeCell ref="F24:G24"/>
  </mergeCells>
  <dataValidations count="1">
    <dataValidation type="list" allowBlank="1" showInputMessage="1" showErrorMessage="1" sqref="F24:G24">
      <formula1>paises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T41"/>
  <sheetViews>
    <sheetView workbookViewId="0">
      <selection activeCell="G17" sqref="G17"/>
    </sheetView>
  </sheetViews>
  <sheetFormatPr defaultColWidth="11.42578125" defaultRowHeight="12.75" x14ac:dyDescent="0.2"/>
  <cols>
    <col min="1" max="1" width="5.5703125" style="1" customWidth="1"/>
    <col min="2" max="2" width="12.140625" style="1" bestFit="1" customWidth="1"/>
    <col min="3" max="3" width="12.42578125" style="1" bestFit="1" customWidth="1"/>
    <col min="4" max="4" width="33.28515625" style="1" customWidth="1"/>
    <col min="5" max="5" width="16.5703125" style="1" hidden="1" customWidth="1"/>
    <col min="6" max="6" width="16.140625" style="1" customWidth="1"/>
    <col min="7" max="7" width="3.7109375" style="1" customWidth="1"/>
    <col min="8" max="8" width="16.140625" style="1" customWidth="1"/>
    <col min="9" max="9" width="3.7109375" style="1" customWidth="1"/>
    <col min="10" max="11" width="4.5703125" style="1" customWidth="1"/>
    <col min="12" max="12" width="14.7109375" style="1" customWidth="1"/>
    <col min="13" max="19" width="4.28515625" style="1" customWidth="1"/>
    <col min="20" max="20" width="3.28515625" style="1" customWidth="1"/>
    <col min="21" max="16384" width="11.42578125" style="1"/>
  </cols>
  <sheetData>
    <row r="1" spans="2:20" ht="23.25" x14ac:dyDescent="0.35">
      <c r="B1" s="2" t="s">
        <v>130</v>
      </c>
      <c r="C1" s="57" t="s">
        <v>131</v>
      </c>
      <c r="D1" s="3"/>
      <c r="E1" s="4"/>
    </row>
    <row r="2" spans="2:20" x14ac:dyDescent="0.2">
      <c r="B2" s="33">
        <f ca="1">TODAY()</f>
        <v>41720</v>
      </c>
      <c r="C2" s="96">
        <f ca="1">NOW()</f>
        <v>41720.769673263887</v>
      </c>
    </row>
    <row r="3" spans="2:20" x14ac:dyDescent="0.2">
      <c r="C3" s="5"/>
      <c r="D3" s="6"/>
      <c r="E3" s="5"/>
    </row>
    <row r="4" spans="2:20" x14ac:dyDescent="0.2">
      <c r="H4" s="56"/>
    </row>
    <row r="12" spans="2:20" ht="12.75" customHeight="1" x14ac:dyDescent="0.2">
      <c r="C12" s="103" t="s">
        <v>132</v>
      </c>
      <c r="D12" s="103"/>
      <c r="E12" s="103"/>
      <c r="F12" s="103"/>
    </row>
    <row r="13" spans="2:20" ht="13.5" customHeight="1" x14ac:dyDescent="0.2">
      <c r="C13" s="103"/>
      <c r="D13" s="103"/>
      <c r="E13" s="103"/>
      <c r="F13" s="103"/>
    </row>
    <row r="14" spans="2:20" x14ac:dyDescent="0.2">
      <c r="C14" s="103"/>
      <c r="D14" s="103"/>
      <c r="E14" s="103"/>
      <c r="F14" s="103"/>
    </row>
    <row r="15" spans="2:20" ht="13.5" thickBot="1" x14ac:dyDescent="0.25"/>
    <row r="16" spans="2:20" ht="14.25" thickTop="1" thickBot="1" x14ac:dyDescent="0.25">
      <c r="B16" s="68" t="s">
        <v>134</v>
      </c>
      <c r="C16" s="69" t="s">
        <v>135</v>
      </c>
      <c r="D16" s="70" t="s">
        <v>137</v>
      </c>
      <c r="E16" s="70" t="s">
        <v>136</v>
      </c>
      <c r="F16" s="99" t="s">
        <v>138</v>
      </c>
      <c r="G16" s="99"/>
      <c r="H16" s="99"/>
      <c r="I16" s="99"/>
      <c r="L16" s="7" t="str">
        <f>'Πρώτος Γύρος'!K4</f>
        <v>Ομάδα</v>
      </c>
      <c r="M16" s="8" t="str">
        <f>'Πρώτος Γύρος'!L4</f>
        <v>Ν</v>
      </c>
      <c r="N16" s="8" t="str">
        <f>'Πρώτος Γύρος'!M4</f>
        <v>Ι</v>
      </c>
      <c r="O16" s="8" t="str">
        <f>'Πρώτος Γύρος'!N4</f>
        <v>Η</v>
      </c>
      <c r="P16" s="8" t="str">
        <f>'Πρώτος Γύρος'!O4</f>
        <v>ΓΥ</v>
      </c>
      <c r="Q16" s="8" t="str">
        <f>'Πρώτος Γύρος'!P4</f>
        <v>ΓΚ</v>
      </c>
      <c r="R16" s="8" t="str">
        <f>'Πρώτος Γύρος'!Q4</f>
        <v>Δ</v>
      </c>
      <c r="S16" s="8" t="str">
        <f>'Πρώτος Γύρος'!R4</f>
        <v>ΒΑΘ.</v>
      </c>
      <c r="T16" s="8" t="s">
        <v>2</v>
      </c>
    </row>
    <row r="17" spans="2:20" ht="13.5" thickTop="1" x14ac:dyDescent="0.2">
      <c r="B17" s="71">
        <v>41802</v>
      </c>
      <c r="C17" s="72">
        <f>Turno6</f>
        <v>0.95833333333333359</v>
      </c>
      <c r="D17" s="73" t="str">
        <f>Ώρες!I14</f>
        <v>Σάο Πάολο</v>
      </c>
      <c r="E17" s="74" t="str">
        <f ca="1">IF(OR(B17="",C17="",B17&lt;$B$2),"Finalizado",IF(B17=$B$2,IF(AND(C17&lt;=$Q$22,$Q$22&lt;=(C17+0.08333333333)),"En juego",IF($Q$22&lt;C17,"HOY!","Finalizado")),IF($B$2&gt;B17,"Finalizado","Proximamente..")))</f>
        <v>Proximamente..</v>
      </c>
      <c r="F17" s="75" t="str">
        <f>Ομάδες!D2</f>
        <v>Βραζιλία</v>
      </c>
      <c r="G17" s="10"/>
      <c r="H17" s="86" t="str">
        <f>Ομάδες!D3</f>
        <v>Κροατία</v>
      </c>
      <c r="I17" s="11"/>
      <c r="L17" s="12" t="str">
        <f>'Πρώτος Γύρος'!K5</f>
        <v>Βραζιλία</v>
      </c>
      <c r="M17" s="12">
        <f>'Πρώτος Γύρος'!L5</f>
        <v>0</v>
      </c>
      <c r="N17" s="12">
        <f>'Πρώτος Γύρος'!M5</f>
        <v>0</v>
      </c>
      <c r="O17" s="12">
        <f>'Πρώτος Γύρος'!N5</f>
        <v>0</v>
      </c>
      <c r="P17" s="12">
        <f>'Πρώτος Γύρος'!O5</f>
        <v>0</v>
      </c>
      <c r="Q17" s="12">
        <f>'Πρώτος Γύρος'!P5</f>
        <v>0</v>
      </c>
      <c r="R17" s="12">
        <f>'Πρώτος Γύρος'!Q5</f>
        <v>0</v>
      </c>
      <c r="S17" s="12">
        <f>'Πρώτος Γύρος'!R5</f>
        <v>0</v>
      </c>
      <c r="T17" s="12">
        <f>SUM(M17:O17)</f>
        <v>0</v>
      </c>
    </row>
    <row r="18" spans="2:20" ht="13.5" thickBot="1" x14ac:dyDescent="0.25">
      <c r="B18" s="76">
        <v>41803</v>
      </c>
      <c r="C18" s="72">
        <f>Turno2</f>
        <v>0.79166666666666663</v>
      </c>
      <c r="D18" s="73" t="str">
        <f>Ώρες!I15</f>
        <v>Νατάλ</v>
      </c>
      <c r="E18" s="77" t="str">
        <f t="shared" ref="E18:E22" ca="1" si="0">IF(OR(B18="",C18="",B18&lt;$B$2),"Finalizado",IF(B18=$B$2,IF(AND(C18&lt;=$Q$22,$Q$22&lt;=(C18+0.08333333333)),"En juego",IF($Q$22&lt;C18,"HOY!","Finalizado")),IF($B$2&gt;B18,"Finalizado","Proximamente..")))</f>
        <v>Proximamente..</v>
      </c>
      <c r="F18" s="75" t="str">
        <f>Ομάδες!D4</f>
        <v>Μεξικό</v>
      </c>
      <c r="G18" s="13"/>
      <c r="H18" s="87" t="str">
        <f>Ομάδες!D5</f>
        <v>Καμερούν</v>
      </c>
      <c r="I18" s="14"/>
      <c r="L18" s="12" t="str">
        <f>'Πρώτος Γύρος'!K6</f>
        <v>Κροατία</v>
      </c>
      <c r="M18" s="12">
        <f>'Πρώτος Γύρος'!L6</f>
        <v>0</v>
      </c>
      <c r="N18" s="12">
        <f>'Πρώτος Γύρος'!M6</f>
        <v>0</v>
      </c>
      <c r="O18" s="12">
        <f>'Πρώτος Γύρος'!N6</f>
        <v>0</v>
      </c>
      <c r="P18" s="12">
        <f>'Πρώτος Γύρος'!O6</f>
        <v>0</v>
      </c>
      <c r="Q18" s="12">
        <f>'Πρώτος Γύρος'!P6</f>
        <v>0</v>
      </c>
      <c r="R18" s="12">
        <f>'Πρώτος Γύρος'!Q6</f>
        <v>0</v>
      </c>
      <c r="S18" s="12">
        <f>'Πρώτος Γύρος'!R6</f>
        <v>0</v>
      </c>
      <c r="T18" s="12">
        <f>SUM(M18:O18)</f>
        <v>0</v>
      </c>
    </row>
    <row r="19" spans="2:20" ht="13.5" thickTop="1" x14ac:dyDescent="0.2">
      <c r="B19" s="78">
        <v>41807</v>
      </c>
      <c r="C19" s="79">
        <f>Turno5</f>
        <v>0.91666666666666663</v>
      </c>
      <c r="D19" s="80" t="str">
        <f>Ώρες!I16</f>
        <v>Φορταλέζα</v>
      </c>
      <c r="E19" s="74" t="str">
        <f t="shared" ca="1" si="0"/>
        <v>Proximamente..</v>
      </c>
      <c r="F19" s="81" t="str">
        <f>Ομάδες!D2</f>
        <v>Βραζιλία</v>
      </c>
      <c r="G19" s="13"/>
      <c r="H19" s="86" t="str">
        <f>Ομάδες!D4</f>
        <v>Μεξικό</v>
      </c>
      <c r="I19" s="14"/>
      <c r="L19" s="12" t="str">
        <f>'Πρώτος Γύρος'!K7</f>
        <v>Μεξικό</v>
      </c>
      <c r="M19" s="12">
        <f>'Πρώτος Γύρος'!L7</f>
        <v>0</v>
      </c>
      <c r="N19" s="12">
        <f>'Πρώτος Γύρος'!M7</f>
        <v>0</v>
      </c>
      <c r="O19" s="12">
        <f>'Πρώτος Γύρος'!N7</f>
        <v>0</v>
      </c>
      <c r="P19" s="12">
        <f>'Πρώτος Γύρος'!O7</f>
        <v>0</v>
      </c>
      <c r="Q19" s="12">
        <f>'Πρώτος Γύρος'!P7</f>
        <v>0</v>
      </c>
      <c r="R19" s="12">
        <f>'Πρώτος Γύρος'!Q7</f>
        <v>0</v>
      </c>
      <c r="S19" s="12">
        <f>'Πρώτος Γύρος'!R7</f>
        <v>0</v>
      </c>
      <c r="T19" s="12">
        <f>SUM(M19:O19)</f>
        <v>0</v>
      </c>
    </row>
    <row r="20" spans="2:20" ht="13.5" thickBot="1" x14ac:dyDescent="0.25">
      <c r="B20" s="76">
        <v>41808</v>
      </c>
      <c r="C20" s="82">
        <f>Turno6</f>
        <v>0.95833333333333359</v>
      </c>
      <c r="D20" s="83" t="str">
        <f>Ώρες!I17</f>
        <v>Μανάους</v>
      </c>
      <c r="E20" s="77" t="str">
        <f t="shared" ca="1" si="0"/>
        <v>Proximamente..</v>
      </c>
      <c r="F20" s="84" t="str">
        <f>Ομάδες!D5</f>
        <v>Καμερούν</v>
      </c>
      <c r="G20" s="13"/>
      <c r="H20" s="87" t="str">
        <f>Ομάδες!D3</f>
        <v>Κροατία</v>
      </c>
      <c r="I20" s="14"/>
      <c r="L20" s="15" t="str">
        <f>'Πρώτος Γύρος'!K8</f>
        <v>Καμερούν</v>
      </c>
      <c r="M20" s="15">
        <f>'Πρώτος Γύρος'!L8</f>
        <v>0</v>
      </c>
      <c r="N20" s="15">
        <f>'Πρώτος Γύρος'!M8</f>
        <v>0</v>
      </c>
      <c r="O20" s="15">
        <f>'Πρώτος Γύρος'!N8</f>
        <v>0</v>
      </c>
      <c r="P20" s="15">
        <f>'Πρώτος Γύρος'!O8</f>
        <v>0</v>
      </c>
      <c r="Q20" s="15">
        <f>'Πρώτος Γύρος'!P8</f>
        <v>0</v>
      </c>
      <c r="R20" s="15">
        <f>'Πρώτος Γύρος'!Q8</f>
        <v>0</v>
      </c>
      <c r="S20" s="15">
        <f>'Πρώτος Γύρος'!R8</f>
        <v>0</v>
      </c>
      <c r="T20" s="15">
        <f>SUM(M20:O20)</f>
        <v>0</v>
      </c>
    </row>
    <row r="21" spans="2:20" ht="13.5" thickTop="1" x14ac:dyDescent="0.2">
      <c r="B21" s="85">
        <v>41813</v>
      </c>
      <c r="C21" s="72">
        <f>Turno6</f>
        <v>0.95833333333333359</v>
      </c>
      <c r="D21" s="73" t="str">
        <f>Ώρες!I18</f>
        <v>Μπραζίλια</v>
      </c>
      <c r="E21" s="74" t="str">
        <f t="shared" ca="1" si="0"/>
        <v>Proximamente..</v>
      </c>
      <c r="F21" s="75" t="str">
        <f>Ομάδες!D5</f>
        <v>Καμερούν</v>
      </c>
      <c r="G21" s="13"/>
      <c r="H21" s="86" t="str">
        <f>Ομάδες!D2</f>
        <v>Βραζιλία</v>
      </c>
      <c r="I21" s="14"/>
    </row>
    <row r="22" spans="2:20" ht="13.5" thickBot="1" x14ac:dyDescent="0.25">
      <c r="B22" s="76">
        <v>41813</v>
      </c>
      <c r="C22" s="82">
        <f>Turno6</f>
        <v>0.95833333333333359</v>
      </c>
      <c r="D22" s="83" t="str">
        <f>Ώρες!I19</f>
        <v>Ρεσίφε</v>
      </c>
      <c r="E22" s="77" t="str">
        <f t="shared" ca="1" si="0"/>
        <v>Proximamente..</v>
      </c>
      <c r="F22" s="84" t="str">
        <f>Ομάδες!D3</f>
        <v>Κροατία</v>
      </c>
      <c r="G22" s="16"/>
      <c r="H22" s="87" t="str">
        <f>Ομάδες!D4</f>
        <v>Μεξικό</v>
      </c>
      <c r="I22" s="17"/>
      <c r="Q22" s="58">
        <f ca="1">TIME(Q23,Q24,0)</f>
        <v>0.76944444444444438</v>
      </c>
    </row>
    <row r="23" spans="2:20" ht="13.5" thickTop="1" x14ac:dyDescent="0.2">
      <c r="Q23" s="59">
        <f ca="1">HOUR(C2)</f>
        <v>18</v>
      </c>
    </row>
    <row r="24" spans="2:20" ht="12.75" customHeight="1" thickBot="1" x14ac:dyDescent="0.25">
      <c r="Q24" s="59">
        <f ca="1">MINUTE(C2)</f>
        <v>28</v>
      </c>
    </row>
    <row r="25" spans="2:20" x14ac:dyDescent="0.2">
      <c r="L25" s="100" t="s">
        <v>139</v>
      </c>
      <c r="M25" s="100"/>
      <c r="N25" s="100"/>
      <c r="O25" s="100"/>
    </row>
    <row r="26" spans="2:20" x14ac:dyDescent="0.2">
      <c r="L26" s="101" t="str">
        <f>IF(T17=3,L17,"1A")</f>
        <v>1A</v>
      </c>
      <c r="M26" s="101"/>
      <c r="N26" s="101"/>
      <c r="O26" s="101"/>
    </row>
    <row r="27" spans="2:20" ht="12.75" customHeight="1" thickBot="1" x14ac:dyDescent="0.25">
      <c r="L27" s="102" t="str">
        <f>IF(T18=3,L18,"2A")</f>
        <v>2A</v>
      </c>
      <c r="M27" s="102"/>
      <c r="N27" s="102"/>
      <c r="O27" s="102"/>
    </row>
    <row r="29" spans="2:20" x14ac:dyDescent="0.2">
      <c r="L29" s="89"/>
    </row>
    <row r="32" spans="2:20" x14ac:dyDescent="0.2">
      <c r="L32" s="88"/>
    </row>
    <row r="33" spans="4:18" x14ac:dyDescent="0.2">
      <c r="L33" s="88"/>
    </row>
    <row r="34" spans="4:18" x14ac:dyDescent="0.2">
      <c r="D34"/>
      <c r="L34" s="88"/>
      <c r="R34"/>
    </row>
    <row r="38" spans="4:18" x14ac:dyDescent="0.2">
      <c r="D38"/>
    </row>
    <row r="41" spans="4:18" x14ac:dyDescent="0.2">
      <c r="H41"/>
    </row>
  </sheetData>
  <sheetProtection selectLockedCells="1" selectUnlockedCells="1"/>
  <customSheetViews>
    <customSheetView guid="{95E402C5-2143-4FCF-AAA0-B9B99670355B}" hiddenColumns="1">
      <selection activeCell="H11" sqref="H11"/>
      <pageMargins left="0.74791666666666667" right="0.74791666666666667" top="0.98402777777777772" bottom="0.98402777777777772" header="0.51180555555555551" footer="0.51180555555555551"/>
      <pageSetup paperSize="9" firstPageNumber="0" orientation="portrait" horizontalDpi="300" verticalDpi="300" r:id="rId1"/>
      <headerFooter alignWithMargins="0"/>
    </customSheetView>
  </customSheetViews>
  <mergeCells count="5">
    <mergeCell ref="F16:I16"/>
    <mergeCell ref="L25:O25"/>
    <mergeCell ref="L26:O26"/>
    <mergeCell ref="L27:O27"/>
    <mergeCell ref="C12:F14"/>
  </mergeCells>
  <conditionalFormatting sqref="E17:E22">
    <cfRule type="cellIs" dxfId="23" priority="1" stopIfTrue="1" operator="equal">
      <formula>"HOY!"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2"/>
  <headerFooter alignWithMargins="0"/>
  <ignoredErrors>
    <ignoredError sqref="F18 C19" 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T36"/>
  <sheetViews>
    <sheetView workbookViewId="0">
      <selection activeCell="G17" sqref="G17"/>
    </sheetView>
  </sheetViews>
  <sheetFormatPr defaultColWidth="11.42578125" defaultRowHeight="12.75" x14ac:dyDescent="0.2"/>
  <cols>
    <col min="1" max="1" width="5.5703125" style="1" customWidth="1"/>
    <col min="2" max="2" width="12.140625" style="1" bestFit="1" customWidth="1"/>
    <col min="3" max="3" width="12.42578125" style="1" bestFit="1" customWidth="1"/>
    <col min="4" max="4" width="33.28515625" style="1" customWidth="1"/>
    <col min="5" max="5" width="15.28515625" style="1" hidden="1" customWidth="1"/>
    <col min="6" max="6" width="16.140625" style="1" customWidth="1"/>
    <col min="7" max="7" width="3.7109375" style="1" customWidth="1"/>
    <col min="8" max="8" width="16.140625" style="1" customWidth="1"/>
    <col min="9" max="9" width="3.7109375" style="1" customWidth="1"/>
    <col min="10" max="11" width="4.5703125" style="1" customWidth="1"/>
    <col min="12" max="12" width="14.7109375" style="1" customWidth="1"/>
    <col min="13" max="19" width="4.28515625" style="1" customWidth="1"/>
    <col min="20" max="20" width="3.28515625" style="1" customWidth="1"/>
    <col min="21" max="16384" width="11.42578125" style="1"/>
  </cols>
  <sheetData>
    <row r="1" spans="2:20" ht="23.25" x14ac:dyDescent="0.35">
      <c r="B1" s="2" t="s">
        <v>130</v>
      </c>
      <c r="C1" s="57" t="s">
        <v>131</v>
      </c>
      <c r="D1" s="3"/>
      <c r="E1" s="4"/>
    </row>
    <row r="2" spans="2:20" x14ac:dyDescent="0.2">
      <c r="B2" s="33">
        <f ca="1">TODAY()</f>
        <v>41720</v>
      </c>
      <c r="C2" s="96">
        <f ca="1">NOW()</f>
        <v>41720.769673263887</v>
      </c>
    </row>
    <row r="3" spans="2:20" x14ac:dyDescent="0.2">
      <c r="C3" s="5"/>
      <c r="D3" s="6"/>
      <c r="E3" s="5"/>
    </row>
    <row r="12" spans="2:20" ht="12.75" customHeight="1" x14ac:dyDescent="0.2">
      <c r="C12" s="103" t="s">
        <v>133</v>
      </c>
      <c r="D12" s="103"/>
      <c r="E12" s="103"/>
      <c r="F12" s="103"/>
    </row>
    <row r="13" spans="2:20" ht="13.5" customHeight="1" x14ac:dyDescent="0.2">
      <c r="C13" s="103"/>
      <c r="D13" s="103"/>
      <c r="E13" s="103"/>
      <c r="F13" s="103"/>
    </row>
    <row r="14" spans="2:20" ht="12.75" customHeight="1" x14ac:dyDescent="0.2">
      <c r="C14" s="103"/>
      <c r="D14" s="103"/>
      <c r="E14" s="103"/>
      <c r="F14" s="103"/>
    </row>
    <row r="15" spans="2:20" ht="13.5" thickBot="1" x14ac:dyDescent="0.25"/>
    <row r="16" spans="2:20" ht="14.25" thickTop="1" thickBot="1" x14ac:dyDescent="0.25">
      <c r="B16" s="68" t="s">
        <v>134</v>
      </c>
      <c r="C16" s="69" t="s">
        <v>135</v>
      </c>
      <c r="D16" s="70" t="s">
        <v>137</v>
      </c>
      <c r="E16" s="70" t="s">
        <v>136</v>
      </c>
      <c r="F16" s="99" t="s">
        <v>138</v>
      </c>
      <c r="G16" s="99"/>
      <c r="H16" s="99"/>
      <c r="I16" s="99"/>
      <c r="L16" s="7" t="str">
        <f>'Πρώτος Γύρος'!K11</f>
        <v>Ομάδα</v>
      </c>
      <c r="M16" s="8" t="str">
        <f>'Πρώτος Γύρος'!L11</f>
        <v>Ν</v>
      </c>
      <c r="N16" s="8" t="str">
        <f>'Πρώτος Γύρος'!M11</f>
        <v>Ι</v>
      </c>
      <c r="O16" s="8" t="str">
        <f>'Πρώτος Γύρος'!N11</f>
        <v>Η</v>
      </c>
      <c r="P16" s="8" t="str">
        <f>'Πρώτος Γύρος'!O11</f>
        <v>ΓΥ</v>
      </c>
      <c r="Q16" s="8" t="str">
        <f>'Πρώτος Γύρος'!P11</f>
        <v>ΓΚ</v>
      </c>
      <c r="R16" s="8" t="str">
        <f>'Πρώτος Γύρος'!Q11</f>
        <v>Δ</v>
      </c>
      <c r="S16" s="8" t="str">
        <f>'Πρώτος Γύρος'!R11</f>
        <v>ΒΑΘ.</v>
      </c>
      <c r="T16" s="8" t="str">
        <f>'Πρώτος Γύρος'!S11</f>
        <v>PJ</v>
      </c>
    </row>
    <row r="17" spans="2:20" ht="13.5" thickTop="1" x14ac:dyDescent="0.2">
      <c r="B17" s="71">
        <v>41803</v>
      </c>
      <c r="C17" s="72">
        <v>0.95833333333333337</v>
      </c>
      <c r="D17" s="73" t="str">
        <f>Ώρες!I20</f>
        <v>Σαλβαδόρ</v>
      </c>
      <c r="E17" s="74" t="str">
        <f ca="1">IF(OR(B17="",C17="",B17&lt;$B$2),"Finalizado",IF(B17=$B$2,IF(AND(C17&lt;=$Q$22,$Q$22&lt;=(C17+0.08333333333)),"En juego",IF($Q$22&lt;C17,"HOY!","Finalizado")),IF($B$2&gt;B17,"Finalizado","Proximamente...")))</f>
        <v>Proximamente...</v>
      </c>
      <c r="F17" s="75" t="str">
        <f>Ομάδες!$D$7</f>
        <v>Ισπανία</v>
      </c>
      <c r="G17" s="10"/>
      <c r="H17" s="86" t="str">
        <f>Ομάδες!$D$8</f>
        <v>Ολλανδία</v>
      </c>
      <c r="I17" s="11"/>
      <c r="L17" s="12" t="str">
        <f>'Πρώτος Γύρος'!K12</f>
        <v>Ισπανία</v>
      </c>
      <c r="M17" s="12">
        <f>'Πρώτος Γύρος'!L12</f>
        <v>0</v>
      </c>
      <c r="N17" s="12">
        <f>'Πρώτος Γύρος'!M12</f>
        <v>0</v>
      </c>
      <c r="O17" s="12">
        <f>'Πρώτος Γύρος'!N12</f>
        <v>0</v>
      </c>
      <c r="P17" s="12">
        <f>'Πρώτος Γύρος'!O12</f>
        <v>0</v>
      </c>
      <c r="Q17" s="12">
        <f>'Πρώτος Γύρος'!P12</f>
        <v>0</v>
      </c>
      <c r="R17" s="12">
        <f>'Πρώτος Γύρος'!Q12</f>
        <v>0</v>
      </c>
      <c r="S17" s="12">
        <f>'Πρώτος Γύρος'!R12</f>
        <v>0</v>
      </c>
      <c r="T17" s="12">
        <f>'Πρώτος Γύρος'!S12</f>
        <v>0</v>
      </c>
    </row>
    <row r="18" spans="2:20" ht="13.5" thickBot="1" x14ac:dyDescent="0.25">
      <c r="B18" s="76">
        <v>41804</v>
      </c>
      <c r="C18" s="72">
        <v>4.1666666666666664E-2</v>
      </c>
      <c r="D18" s="73" t="str">
        <f>Ώρες!I21</f>
        <v>Κουιάμπα</v>
      </c>
      <c r="E18" s="77" t="str">
        <f t="shared" ref="E18:E22" ca="1" si="0">IF(OR(B18="",C18="",B18&lt;$B$2),"Finalizado",IF(B18=$B$2,IF(AND(C18&lt;=$Q$22,$Q$22&lt;=(C18+0.08333333333)),"En juego",IF($Q$22&lt;C18,"HOY!","Finalizado")),IF($B$2&gt;B18,"Finalizado","Proximamente...")))</f>
        <v>Proximamente...</v>
      </c>
      <c r="F18" s="75" t="str">
        <f>Ομάδες!$D$9</f>
        <v>Χιλή</v>
      </c>
      <c r="G18" s="13"/>
      <c r="H18" s="87" t="str">
        <f>Ομάδες!$D$10</f>
        <v>Αυστραλία</v>
      </c>
      <c r="I18" s="14"/>
      <c r="L18" s="12" t="str">
        <f>'Πρώτος Γύρος'!K13</f>
        <v>Ολλανδία</v>
      </c>
      <c r="M18" s="12">
        <f>'Πρώτος Γύρος'!L13</f>
        <v>0</v>
      </c>
      <c r="N18" s="12">
        <f>'Πρώτος Γύρος'!M13</f>
        <v>0</v>
      </c>
      <c r="O18" s="12">
        <f>'Πρώτος Γύρος'!N13</f>
        <v>0</v>
      </c>
      <c r="P18" s="12">
        <f>'Πρώτος Γύρος'!O13</f>
        <v>0</v>
      </c>
      <c r="Q18" s="12">
        <f>'Πρώτος Γύρος'!P13</f>
        <v>0</v>
      </c>
      <c r="R18" s="12">
        <f>'Πρώτος Γύρος'!Q13</f>
        <v>0</v>
      </c>
      <c r="S18" s="12">
        <f>'Πρώτος Γύρος'!R13</f>
        <v>0</v>
      </c>
      <c r="T18" s="12">
        <f>'Πρώτος Γύρος'!S13</f>
        <v>0</v>
      </c>
    </row>
    <row r="19" spans="2:20" ht="13.5" thickTop="1" x14ac:dyDescent="0.2">
      <c r="B19" s="78">
        <v>41808</v>
      </c>
      <c r="C19" s="79">
        <v>0.91666666666666663</v>
      </c>
      <c r="D19" s="80" t="str">
        <f>Ώρες!I22</f>
        <v>Ρίο Ντε Τζανέιρο</v>
      </c>
      <c r="E19" s="74" t="str">
        <f t="shared" ca="1" si="0"/>
        <v>Proximamente...</v>
      </c>
      <c r="F19" s="81" t="str">
        <f>Ομάδες!$D$7</f>
        <v>Ισπανία</v>
      </c>
      <c r="G19" s="13"/>
      <c r="H19" s="86" t="str">
        <f>Ομάδες!$D$9</f>
        <v>Χιλή</v>
      </c>
      <c r="I19" s="14"/>
      <c r="L19" s="12" t="str">
        <f>'Πρώτος Γύρος'!K14</f>
        <v>Χιλή</v>
      </c>
      <c r="M19" s="12">
        <f>'Πρώτος Γύρος'!L14</f>
        <v>0</v>
      </c>
      <c r="N19" s="12">
        <f>'Πρώτος Γύρος'!M14</f>
        <v>0</v>
      </c>
      <c r="O19" s="12">
        <f>'Πρώτος Γύρος'!N14</f>
        <v>0</v>
      </c>
      <c r="P19" s="12">
        <f>'Πρώτος Γύρος'!O14</f>
        <v>0</v>
      </c>
      <c r="Q19" s="12">
        <f>'Πρώτος Γύρος'!P14</f>
        <v>0</v>
      </c>
      <c r="R19" s="12">
        <f>'Πρώτος Γύρος'!Q14</f>
        <v>0</v>
      </c>
      <c r="S19" s="12">
        <f>'Πρώτος Γύρος'!R14</f>
        <v>0</v>
      </c>
      <c r="T19" s="12">
        <f>'Πρώτος Γύρος'!S14</f>
        <v>0</v>
      </c>
    </row>
    <row r="20" spans="2:20" ht="13.5" thickBot="1" x14ac:dyDescent="0.25">
      <c r="B20" s="76">
        <v>41808</v>
      </c>
      <c r="C20" s="82">
        <v>0.79166666666666663</v>
      </c>
      <c r="D20" s="83" t="str">
        <f>Ώρες!I23</f>
        <v>Πόρτο Αλέγκρε</v>
      </c>
      <c r="E20" s="77" t="str">
        <f t="shared" ca="1" si="0"/>
        <v>Proximamente...</v>
      </c>
      <c r="F20" s="84" t="str">
        <f>Ομάδες!$D$10</f>
        <v>Αυστραλία</v>
      </c>
      <c r="G20" s="13"/>
      <c r="H20" s="87" t="str">
        <f>Ομάδες!$D$8</f>
        <v>Ολλανδία</v>
      </c>
      <c r="I20" s="14"/>
      <c r="L20" s="15" t="str">
        <f>'Πρώτος Γύρος'!K15</f>
        <v>Αυστραλία</v>
      </c>
      <c r="M20" s="15">
        <f>'Πρώτος Γύρος'!L15</f>
        <v>0</v>
      </c>
      <c r="N20" s="15">
        <f>'Πρώτος Γύρος'!M15</f>
        <v>0</v>
      </c>
      <c r="O20" s="15">
        <f>'Πρώτος Γύρος'!N15</f>
        <v>0</v>
      </c>
      <c r="P20" s="15">
        <f>'Πρώτος Γύρος'!O15</f>
        <v>0</v>
      </c>
      <c r="Q20" s="15">
        <f>'Πρώτος Γύρος'!P15</f>
        <v>0</v>
      </c>
      <c r="R20" s="15">
        <f>'Πρώτος Γύρος'!Q15</f>
        <v>0</v>
      </c>
      <c r="S20" s="15">
        <f>'Πρώτος Γύρος'!R15</f>
        <v>0</v>
      </c>
      <c r="T20" s="15">
        <f>'Πρώτος Γύρος'!S15</f>
        <v>0</v>
      </c>
    </row>
    <row r="21" spans="2:20" ht="13.5" thickTop="1" x14ac:dyDescent="0.2">
      <c r="B21" s="85">
        <v>41813</v>
      </c>
      <c r="C21" s="72">
        <v>0.79166666666666663</v>
      </c>
      <c r="D21" s="73" t="str">
        <f>Ώρες!I24</f>
        <v>Κουριτίμπα</v>
      </c>
      <c r="E21" s="74" t="str">
        <f t="shared" ca="1" si="0"/>
        <v>Proximamente...</v>
      </c>
      <c r="F21" s="75" t="str">
        <f>Ομάδες!$D$10</f>
        <v>Αυστραλία</v>
      </c>
      <c r="G21" s="13"/>
      <c r="H21" s="86" t="str">
        <f>Ομάδες!$D$7</f>
        <v>Ισπανία</v>
      </c>
      <c r="I21" s="14"/>
    </row>
    <row r="22" spans="2:20" ht="13.5" thickBot="1" x14ac:dyDescent="0.25">
      <c r="B22" s="76">
        <v>41813</v>
      </c>
      <c r="C22" s="82">
        <v>0.79166666666666663</v>
      </c>
      <c r="D22" s="83" t="str">
        <f>Ώρες!I25</f>
        <v>Μπέλο Οριζόντε</v>
      </c>
      <c r="E22" s="77" t="str">
        <f t="shared" ca="1" si="0"/>
        <v>Proximamente...</v>
      </c>
      <c r="F22" s="84" t="str">
        <f>Ομάδες!$D$8</f>
        <v>Ολλανδία</v>
      </c>
      <c r="G22" s="16"/>
      <c r="H22" s="87" t="str">
        <f>Ομάδες!$D$9</f>
        <v>Χιλή</v>
      </c>
      <c r="I22" s="17"/>
      <c r="Q22" s="58">
        <f ca="1">TIME(Q23,Q24,0)</f>
        <v>0.76944444444444438</v>
      </c>
    </row>
    <row r="23" spans="2:20" ht="13.5" thickTop="1" x14ac:dyDescent="0.2">
      <c r="Q23" s="59">
        <f ca="1">HOUR(C2)</f>
        <v>18</v>
      </c>
    </row>
    <row r="24" spans="2:20" ht="13.5" thickBot="1" x14ac:dyDescent="0.25">
      <c r="Q24" s="59">
        <f ca="1">MINUTE(C2)</f>
        <v>28</v>
      </c>
    </row>
    <row r="25" spans="2:20" x14ac:dyDescent="0.2">
      <c r="L25" s="100" t="s">
        <v>139</v>
      </c>
      <c r="M25" s="100"/>
      <c r="N25" s="100"/>
      <c r="O25" s="100"/>
    </row>
    <row r="26" spans="2:20" ht="12.75" customHeight="1" x14ac:dyDescent="0.2">
      <c r="L26" s="101" t="str">
        <f>IF(T17=3,L17,"1B")</f>
        <v>1B</v>
      </c>
      <c r="M26" s="101"/>
      <c r="N26" s="101"/>
      <c r="O26" s="101"/>
    </row>
    <row r="27" spans="2:20" ht="12.75" customHeight="1" thickBot="1" x14ac:dyDescent="0.25">
      <c r="L27" s="102" t="str">
        <f>IF(T18=3,L18,"2B")</f>
        <v>2B</v>
      </c>
      <c r="M27" s="102"/>
      <c r="N27" s="102"/>
      <c r="O27" s="102"/>
    </row>
    <row r="29" spans="2:20" x14ac:dyDescent="0.2">
      <c r="L29" s="89"/>
    </row>
    <row r="32" spans="2:20" x14ac:dyDescent="0.2">
      <c r="L32" s="88"/>
    </row>
    <row r="33" spans="2:12" x14ac:dyDescent="0.2">
      <c r="L33" s="88"/>
    </row>
    <row r="34" spans="2:12" x14ac:dyDescent="0.2">
      <c r="L34" s="88"/>
    </row>
    <row r="35" spans="2:12" x14ac:dyDescent="0.2">
      <c r="B35"/>
    </row>
    <row r="36" spans="2:12" x14ac:dyDescent="0.2">
      <c r="F36"/>
    </row>
  </sheetData>
  <customSheetViews>
    <customSheetView guid="{95E402C5-2143-4FCF-AAA0-B9B99670355B}" hiddenColumns="1" topLeftCell="A10">
      <selection activeCell="C12" sqref="C12:F14"/>
      <pageMargins left="0.74791666666666667" right="0.74791666666666667" top="0.98402777777777772" bottom="0.98402777777777772" header="0.51180555555555551" footer="0.51180555555555551"/>
      <pageSetup paperSize="9" firstPageNumber="0" orientation="portrait" horizontalDpi="300" verticalDpi="300" r:id="rId1"/>
      <headerFooter alignWithMargins="0"/>
    </customSheetView>
  </customSheetViews>
  <mergeCells count="5">
    <mergeCell ref="F16:I16"/>
    <mergeCell ref="L25:O25"/>
    <mergeCell ref="L26:O26"/>
    <mergeCell ref="L27:O27"/>
    <mergeCell ref="C12:F14"/>
  </mergeCells>
  <conditionalFormatting sqref="E17:E22">
    <cfRule type="cellIs" dxfId="22" priority="1" stopIfTrue="1" operator="equal">
      <formula>"HOY!"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2"/>
  <headerFooter alignWithMargins="0"/>
  <ignoredErrors>
    <ignoredError sqref="F18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T34"/>
  <sheetViews>
    <sheetView zoomScaleNormal="100" workbookViewId="0">
      <selection activeCell="C12" sqref="C12:F14"/>
    </sheetView>
  </sheetViews>
  <sheetFormatPr defaultColWidth="11.42578125" defaultRowHeight="12.75" x14ac:dyDescent="0.2"/>
  <cols>
    <col min="1" max="1" width="5.5703125" style="1" customWidth="1"/>
    <col min="2" max="2" width="12.140625" style="1" bestFit="1" customWidth="1"/>
    <col min="3" max="3" width="12.42578125" style="1" bestFit="1" customWidth="1"/>
    <col min="4" max="4" width="33.28515625" style="1" customWidth="1"/>
    <col min="5" max="5" width="14.42578125" style="1" hidden="1" customWidth="1"/>
    <col min="6" max="6" width="17.5703125" style="1" bestFit="1" customWidth="1"/>
    <col min="7" max="7" width="3.7109375" style="1" customWidth="1"/>
    <col min="8" max="8" width="17.5703125" style="1" bestFit="1" customWidth="1"/>
    <col min="9" max="9" width="3.7109375" style="1" customWidth="1"/>
    <col min="10" max="11" width="4.5703125" style="1" customWidth="1"/>
    <col min="12" max="12" width="17.5703125" style="1" bestFit="1" customWidth="1"/>
    <col min="13" max="19" width="4.28515625" style="1" customWidth="1"/>
    <col min="20" max="20" width="3.28515625" style="1" customWidth="1"/>
    <col min="21" max="16384" width="11.42578125" style="1"/>
  </cols>
  <sheetData>
    <row r="1" spans="2:20" ht="23.25" x14ac:dyDescent="0.35">
      <c r="B1" s="2" t="s">
        <v>130</v>
      </c>
      <c r="C1" s="57" t="s">
        <v>131</v>
      </c>
      <c r="D1" s="3"/>
      <c r="E1" s="4"/>
    </row>
    <row r="2" spans="2:20" x14ac:dyDescent="0.2">
      <c r="B2" s="33">
        <f ca="1">TODAY()</f>
        <v>41720</v>
      </c>
      <c r="C2" s="96">
        <f ca="1">NOW()</f>
        <v>41720.769673263887</v>
      </c>
    </row>
    <row r="3" spans="2:20" x14ac:dyDescent="0.2">
      <c r="C3" s="5"/>
      <c r="D3" s="6"/>
      <c r="E3" s="5"/>
    </row>
    <row r="12" spans="2:20" ht="12.75" customHeight="1" x14ac:dyDescent="0.2">
      <c r="C12" s="103" t="s">
        <v>150</v>
      </c>
      <c r="D12" s="103"/>
      <c r="E12" s="103"/>
      <c r="F12" s="103"/>
    </row>
    <row r="13" spans="2:20" ht="13.5" customHeight="1" x14ac:dyDescent="0.2">
      <c r="C13" s="103"/>
      <c r="D13" s="103"/>
      <c r="E13" s="103"/>
      <c r="F13" s="103"/>
    </row>
    <row r="14" spans="2:20" ht="12.75" customHeight="1" x14ac:dyDescent="0.2">
      <c r="C14" s="103"/>
      <c r="D14" s="103"/>
      <c r="E14" s="103"/>
      <c r="F14" s="103"/>
    </row>
    <row r="15" spans="2:20" ht="13.5" thickBot="1" x14ac:dyDescent="0.25"/>
    <row r="16" spans="2:20" ht="14.25" thickTop="1" thickBot="1" x14ac:dyDescent="0.25">
      <c r="B16" s="68" t="s">
        <v>134</v>
      </c>
      <c r="C16" s="69" t="s">
        <v>135</v>
      </c>
      <c r="D16" s="70" t="s">
        <v>137</v>
      </c>
      <c r="E16" s="70" t="s">
        <v>136</v>
      </c>
      <c r="F16" s="99" t="s">
        <v>138</v>
      </c>
      <c r="G16" s="99"/>
      <c r="H16" s="99"/>
      <c r="I16" s="99"/>
      <c r="L16" s="7" t="str">
        <f>'Πρώτος Γύρος'!K18</f>
        <v>Ομάδα</v>
      </c>
      <c r="M16" s="8" t="str">
        <f>'Πρώτος Γύρος'!L18</f>
        <v>Ν</v>
      </c>
      <c r="N16" s="8" t="str">
        <f>'Πρώτος Γύρος'!M18</f>
        <v>Ι</v>
      </c>
      <c r="O16" s="8" t="str">
        <f>'Πρώτος Γύρος'!N18</f>
        <v>Η</v>
      </c>
      <c r="P16" s="8" t="str">
        <f>'Πρώτος Γύρος'!O18</f>
        <v>ΓΥ</v>
      </c>
      <c r="Q16" s="8" t="str">
        <f>'Πρώτος Γύρος'!P18</f>
        <v>ΓΚ</v>
      </c>
      <c r="R16" s="8" t="str">
        <f>'Πρώτος Γύρος'!Q18</f>
        <v>Δ</v>
      </c>
      <c r="S16" s="8" t="str">
        <f>'Πρώτος Γύρος'!R18</f>
        <v>ΒΑΘ.</v>
      </c>
      <c r="T16" s="8" t="str">
        <f>'Πρώτος Γύρος'!S18</f>
        <v>PJ</v>
      </c>
    </row>
    <row r="17" spans="2:20" ht="13.5" thickTop="1" x14ac:dyDescent="0.2">
      <c r="B17" s="71">
        <v>41804</v>
      </c>
      <c r="C17" s="72">
        <v>0.79166666666666663</v>
      </c>
      <c r="D17" s="73" t="str">
        <f>Ώρες!I25</f>
        <v>Μπέλο Οριζόντε</v>
      </c>
      <c r="E17" s="74" t="str">
        <f ca="1">IF(OR(B17="",C17="",B17&lt;$B$2),"Finalizado",IF(B17=$B$2,IF(AND(C17&lt;=$Q$22,$Q$22&lt;=(C17+0.08333333333)),"En juego",IF($Q$22&lt;C17,"HOY!","Finalizado")),IF($B$2&gt;B17,"Finalizado","Proximamente..")))</f>
        <v>Proximamente..</v>
      </c>
      <c r="F17" s="75" t="str">
        <f>Ομάδες!$D$12</f>
        <v>Κολομβία</v>
      </c>
      <c r="G17" s="10"/>
      <c r="H17" s="86" t="str">
        <f>Ομάδες!$D$13</f>
        <v>Ελλάδα</v>
      </c>
      <c r="I17" s="11"/>
      <c r="L17" s="12" t="str">
        <f>'Πρώτος Γύρος'!K19</f>
        <v>Κολομβία</v>
      </c>
      <c r="M17" s="12">
        <f>'Πρώτος Γύρος'!L19</f>
        <v>0</v>
      </c>
      <c r="N17" s="12">
        <f>'Πρώτος Γύρος'!M19</f>
        <v>0</v>
      </c>
      <c r="O17" s="12">
        <f>'Πρώτος Γύρος'!N19</f>
        <v>0</v>
      </c>
      <c r="P17" s="12">
        <f>'Πρώτος Γύρος'!O19</f>
        <v>0</v>
      </c>
      <c r="Q17" s="12">
        <f>'Πρώτος Γύρος'!P19</f>
        <v>0</v>
      </c>
      <c r="R17" s="12">
        <f>'Πρώτος Γύρος'!Q19</f>
        <v>0</v>
      </c>
      <c r="S17" s="12">
        <f>'Πρώτος Γύρος'!R19</f>
        <v>0</v>
      </c>
      <c r="T17" s="12">
        <f>'Πρώτος Γύρος'!S19</f>
        <v>0</v>
      </c>
    </row>
    <row r="18" spans="2:20" ht="13.5" thickBot="1" x14ac:dyDescent="0.25">
      <c r="B18" s="76">
        <v>41805</v>
      </c>
      <c r="C18" s="72">
        <v>0.16666666666666666</v>
      </c>
      <c r="D18" s="73" t="str">
        <f>Ώρες!I19</f>
        <v>Ρεσίφε</v>
      </c>
      <c r="E18" s="77" t="str">
        <f t="shared" ref="E18:E22" ca="1" si="0">IF(OR(B18="",C18="",B18&lt;$B$2),"Finalizado",IF(B18=$B$2,IF(AND(C18&lt;=$Q$22,$Q$22&lt;=(C18+0.08333333333)),"En juego",IF($Q$22&lt;C18,"HOY!","Finalizado")),IF($B$2&gt;B18,"Finalizado","Proximamente..")))</f>
        <v>Proximamente..</v>
      </c>
      <c r="F18" s="75" t="str">
        <f>Ομάδες!$D$14</f>
        <v>Ακτή Ελεφαντοστού</v>
      </c>
      <c r="G18" s="13"/>
      <c r="H18" s="87" t="str">
        <f>Ομάδες!$D$15</f>
        <v>Ιαπωνία</v>
      </c>
      <c r="I18" s="14"/>
      <c r="L18" s="12" t="str">
        <f>'Πρώτος Γύρος'!K20</f>
        <v>Ελλάδα</v>
      </c>
      <c r="M18" s="12">
        <f>'Πρώτος Γύρος'!L20</f>
        <v>0</v>
      </c>
      <c r="N18" s="12">
        <f>'Πρώτος Γύρος'!M20</f>
        <v>0</v>
      </c>
      <c r="O18" s="12">
        <f>'Πρώτος Γύρος'!N20</f>
        <v>0</v>
      </c>
      <c r="P18" s="12">
        <f>'Πρώτος Γύρος'!O20</f>
        <v>0</v>
      </c>
      <c r="Q18" s="12">
        <f>'Πρώτος Γύρος'!P20</f>
        <v>0</v>
      </c>
      <c r="R18" s="12">
        <f>'Πρώτος Γύρος'!Q20</f>
        <v>0</v>
      </c>
      <c r="S18" s="12">
        <f>'Πρώτος Γύρος'!R20</f>
        <v>0</v>
      </c>
      <c r="T18" s="12">
        <f>'Πρώτος Γύρος'!S20</f>
        <v>0</v>
      </c>
    </row>
    <row r="19" spans="2:20" ht="13.5" thickTop="1" x14ac:dyDescent="0.2">
      <c r="B19" s="78">
        <v>41809</v>
      </c>
      <c r="C19" s="79">
        <v>0.79166666666666663</v>
      </c>
      <c r="D19" s="80" t="str">
        <f>Ώρες!I18</f>
        <v>Μπραζίλια</v>
      </c>
      <c r="E19" s="74" t="str">
        <f t="shared" ca="1" si="0"/>
        <v>Proximamente..</v>
      </c>
      <c r="F19" s="81" t="str">
        <f>Ομάδες!$D$12</f>
        <v>Κολομβία</v>
      </c>
      <c r="G19" s="13"/>
      <c r="H19" s="86" t="str">
        <f>Ομάδες!$D$14</f>
        <v>Ακτή Ελεφαντοστού</v>
      </c>
      <c r="I19" s="14"/>
      <c r="L19" s="12" t="str">
        <f>'Πρώτος Γύρος'!K21</f>
        <v>Ακτή Ελεφαντοστού</v>
      </c>
      <c r="M19" s="12">
        <f>'Πρώτος Γύρος'!L21</f>
        <v>0</v>
      </c>
      <c r="N19" s="12">
        <f>'Πρώτος Γύρος'!M21</f>
        <v>0</v>
      </c>
      <c r="O19" s="12">
        <f>'Πρώτος Γύρος'!N21</f>
        <v>0</v>
      </c>
      <c r="P19" s="12">
        <f>'Πρώτος Γύρος'!O21</f>
        <v>0</v>
      </c>
      <c r="Q19" s="12">
        <f>'Πρώτος Γύρος'!P21</f>
        <v>0</v>
      </c>
      <c r="R19" s="12">
        <f>'Πρώτος Γύρος'!Q21</f>
        <v>0</v>
      </c>
      <c r="S19" s="12">
        <f>'Πρώτος Γύρος'!R21</f>
        <v>0</v>
      </c>
      <c r="T19" s="12">
        <f>'Πρώτος Γύρος'!S21</f>
        <v>0</v>
      </c>
    </row>
    <row r="20" spans="2:20" ht="13.5" thickBot="1" x14ac:dyDescent="0.25">
      <c r="B20" s="76">
        <v>41810</v>
      </c>
      <c r="C20" s="82">
        <v>4.1666666666666664E-2</v>
      </c>
      <c r="D20" s="83" t="str">
        <f>Ώρες!I15</f>
        <v>Νατάλ</v>
      </c>
      <c r="E20" s="77" t="str">
        <f t="shared" ca="1" si="0"/>
        <v>Proximamente..</v>
      </c>
      <c r="F20" s="84" t="str">
        <f>Ομάδες!$D$15</f>
        <v>Ιαπωνία</v>
      </c>
      <c r="G20" s="13"/>
      <c r="H20" s="87" t="str">
        <f>Ομάδες!$D$13</f>
        <v>Ελλάδα</v>
      </c>
      <c r="I20" s="14"/>
      <c r="L20" s="15" t="str">
        <f>'Πρώτος Γύρος'!K22</f>
        <v>Ιαπωνία</v>
      </c>
      <c r="M20" s="15">
        <f>'Πρώτος Γύρος'!L22</f>
        <v>0</v>
      </c>
      <c r="N20" s="15">
        <f>'Πρώτος Γύρος'!M22</f>
        <v>0</v>
      </c>
      <c r="O20" s="15">
        <f>'Πρώτος Γύρος'!N22</f>
        <v>0</v>
      </c>
      <c r="P20" s="15">
        <f>'Πρώτος Γύρος'!O22</f>
        <v>0</v>
      </c>
      <c r="Q20" s="15">
        <f>'Πρώτος Γύρος'!P22</f>
        <v>0</v>
      </c>
      <c r="R20" s="15">
        <f>'Πρώτος Γύρος'!Q22</f>
        <v>0</v>
      </c>
      <c r="S20" s="15">
        <f>'Πρώτος Γύρος'!R22</f>
        <v>0</v>
      </c>
      <c r="T20" s="15">
        <f>'Πρώτος Γύρος'!S22</f>
        <v>0</v>
      </c>
    </row>
    <row r="21" spans="2:20" ht="13.5" thickTop="1" x14ac:dyDescent="0.2">
      <c r="B21" s="85">
        <v>41814</v>
      </c>
      <c r="C21" s="72">
        <v>0.95833333333333337</v>
      </c>
      <c r="D21" s="73" t="str">
        <f>Ώρες!I21</f>
        <v>Κουιάμπα</v>
      </c>
      <c r="E21" s="74" t="str">
        <f t="shared" ca="1" si="0"/>
        <v>Proximamente..</v>
      </c>
      <c r="F21" s="75" t="str">
        <f>Ομάδες!$D$15</f>
        <v>Ιαπωνία</v>
      </c>
      <c r="G21" s="13"/>
      <c r="H21" s="86" t="str">
        <f>Ομάδες!$D$12</f>
        <v>Κολομβία</v>
      </c>
      <c r="I21" s="14"/>
    </row>
    <row r="22" spans="2:20" ht="13.5" thickBot="1" x14ac:dyDescent="0.25">
      <c r="B22" s="76">
        <v>41814</v>
      </c>
      <c r="C22" s="82">
        <v>0.95833333333333337</v>
      </c>
      <c r="D22" s="83" t="str">
        <f>Ώρες!I16</f>
        <v>Φορταλέζα</v>
      </c>
      <c r="E22" s="77" t="str">
        <f t="shared" ca="1" si="0"/>
        <v>Proximamente..</v>
      </c>
      <c r="F22" s="84" t="str">
        <f>Ομάδες!$D$13</f>
        <v>Ελλάδα</v>
      </c>
      <c r="G22" s="16"/>
      <c r="H22" s="87" t="str">
        <f>Ομάδες!$D$14</f>
        <v>Ακτή Ελεφαντοστού</v>
      </c>
      <c r="I22" s="17"/>
      <c r="Q22" s="58">
        <f ca="1">TIME(Q23,Q24,0)</f>
        <v>0.76944444444444438</v>
      </c>
    </row>
    <row r="23" spans="2:20" ht="13.5" thickTop="1" x14ac:dyDescent="0.2">
      <c r="Q23" s="59">
        <f ca="1">HOUR(C2)</f>
        <v>18</v>
      </c>
    </row>
    <row r="24" spans="2:20" ht="13.5" thickBot="1" x14ac:dyDescent="0.25">
      <c r="Q24" s="59">
        <f ca="1">MINUTE(C2)</f>
        <v>28</v>
      </c>
    </row>
    <row r="25" spans="2:20" x14ac:dyDescent="0.2">
      <c r="L25" s="100" t="s">
        <v>139</v>
      </c>
      <c r="M25" s="100"/>
      <c r="N25" s="100"/>
      <c r="O25" s="100"/>
    </row>
    <row r="26" spans="2:20" x14ac:dyDescent="0.2">
      <c r="L26" s="101" t="str">
        <f>IF(T17=3,L17,"1C")</f>
        <v>1C</v>
      </c>
      <c r="M26" s="101"/>
      <c r="N26" s="101"/>
      <c r="O26" s="101"/>
    </row>
    <row r="27" spans="2:20" ht="13.5" thickBot="1" x14ac:dyDescent="0.25">
      <c r="L27" s="102" t="str">
        <f>IF(T18=3,L18,"2C")</f>
        <v>2C</v>
      </c>
      <c r="M27" s="102"/>
      <c r="N27" s="102"/>
      <c r="O27" s="102"/>
    </row>
    <row r="29" spans="2:20" x14ac:dyDescent="0.2">
      <c r="L29" s="89"/>
    </row>
    <row r="32" spans="2:20" x14ac:dyDescent="0.2">
      <c r="L32" s="88"/>
    </row>
    <row r="33" spans="12:12" x14ac:dyDescent="0.2">
      <c r="L33" s="88"/>
    </row>
    <row r="34" spans="12:12" x14ac:dyDescent="0.2">
      <c r="L34" s="88"/>
    </row>
  </sheetData>
  <customSheetViews>
    <customSheetView guid="{95E402C5-2143-4FCF-AAA0-B9B99670355B}" hiddenColumns="1" topLeftCell="A7">
      <selection activeCell="C12" sqref="C12:F14"/>
      <pageMargins left="0.74791666666666667" right="0.74791666666666667" top="0.98402777777777772" bottom="0.98402777777777772" header="0.51180555555555551" footer="0.51180555555555551"/>
      <pageSetup paperSize="9" firstPageNumber="0" orientation="portrait" horizontalDpi="300" verticalDpi="300"/>
      <headerFooter alignWithMargins="0"/>
    </customSheetView>
  </customSheetViews>
  <mergeCells count="5">
    <mergeCell ref="F16:I16"/>
    <mergeCell ref="L25:O25"/>
    <mergeCell ref="L26:O26"/>
    <mergeCell ref="L27:O27"/>
    <mergeCell ref="C12:F14"/>
  </mergeCells>
  <conditionalFormatting sqref="E17:E22">
    <cfRule type="cellIs" dxfId="21" priority="1" stopIfTrue="1" operator="equal">
      <formula>"HOY!"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ignoredErrors>
    <ignoredError sqref="F18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T34"/>
  <sheetViews>
    <sheetView workbookViewId="0">
      <selection activeCell="C2" sqref="C2"/>
    </sheetView>
  </sheetViews>
  <sheetFormatPr defaultColWidth="11.42578125" defaultRowHeight="12.75" x14ac:dyDescent="0.2"/>
  <cols>
    <col min="1" max="1" width="5.5703125" style="1" customWidth="1"/>
    <col min="2" max="2" width="12.140625" style="1" bestFit="1" customWidth="1"/>
    <col min="3" max="3" width="12.42578125" style="1" bestFit="1" customWidth="1"/>
    <col min="4" max="4" width="33.28515625" style="1" customWidth="1"/>
    <col min="5" max="5" width="15.28515625" style="1" hidden="1" customWidth="1"/>
    <col min="6" max="6" width="16.140625" style="1" customWidth="1"/>
    <col min="7" max="7" width="3.7109375" style="1" customWidth="1"/>
    <col min="8" max="8" width="16.140625" style="1" customWidth="1"/>
    <col min="9" max="9" width="3.7109375" style="1" customWidth="1"/>
    <col min="10" max="11" width="4.5703125" style="1" customWidth="1"/>
    <col min="12" max="12" width="14.7109375" style="1" customWidth="1"/>
    <col min="13" max="19" width="4.28515625" style="1" customWidth="1"/>
    <col min="20" max="20" width="3.28515625" style="1" customWidth="1"/>
    <col min="21" max="16384" width="11.42578125" style="1"/>
  </cols>
  <sheetData>
    <row r="1" spans="2:20" ht="23.25" x14ac:dyDescent="0.35">
      <c r="B1" s="2" t="s">
        <v>130</v>
      </c>
      <c r="C1" s="57" t="s">
        <v>131</v>
      </c>
      <c r="D1" s="3"/>
      <c r="E1" s="4"/>
    </row>
    <row r="2" spans="2:20" x14ac:dyDescent="0.2">
      <c r="B2" s="33">
        <f ca="1">TODAY()</f>
        <v>41720</v>
      </c>
      <c r="C2" s="96">
        <f ca="1">NOW()</f>
        <v>41720.769673263887</v>
      </c>
    </row>
    <row r="3" spans="2:20" x14ac:dyDescent="0.2">
      <c r="C3" s="5"/>
      <c r="D3" s="6"/>
      <c r="E3" s="5"/>
    </row>
    <row r="12" spans="2:20" ht="12.75" customHeight="1" x14ac:dyDescent="0.2">
      <c r="C12" s="103" t="s">
        <v>155</v>
      </c>
      <c r="D12" s="103"/>
      <c r="E12" s="103"/>
      <c r="F12" s="103"/>
    </row>
    <row r="13" spans="2:20" ht="13.5" customHeight="1" x14ac:dyDescent="0.2">
      <c r="C13" s="103"/>
      <c r="D13" s="103"/>
      <c r="E13" s="103"/>
      <c r="F13" s="103"/>
    </row>
    <row r="14" spans="2:20" ht="12.75" customHeight="1" x14ac:dyDescent="0.2">
      <c r="C14" s="103"/>
      <c r="D14" s="103"/>
      <c r="E14" s="103"/>
      <c r="F14" s="103"/>
    </row>
    <row r="15" spans="2:20" ht="13.5" thickBot="1" x14ac:dyDescent="0.25"/>
    <row r="16" spans="2:20" ht="14.25" thickTop="1" thickBot="1" x14ac:dyDescent="0.25">
      <c r="B16" s="68" t="s">
        <v>134</v>
      </c>
      <c r="C16" s="69" t="s">
        <v>135</v>
      </c>
      <c r="D16" s="70" t="s">
        <v>137</v>
      </c>
      <c r="E16" s="70" t="s">
        <v>136</v>
      </c>
      <c r="F16" s="99" t="s">
        <v>138</v>
      </c>
      <c r="G16" s="99"/>
      <c r="H16" s="99"/>
      <c r="I16" s="99"/>
      <c r="L16" s="7" t="str">
        <f>'Πρώτος Γύρος'!K25</f>
        <v>Ομάδα</v>
      </c>
      <c r="M16" s="8" t="str">
        <f>'Πρώτος Γύρος'!L25</f>
        <v>Ν</v>
      </c>
      <c r="N16" s="8" t="str">
        <f>'Πρώτος Γύρος'!M25</f>
        <v>Ι</v>
      </c>
      <c r="O16" s="8" t="str">
        <f>'Πρώτος Γύρος'!N25</f>
        <v>Η</v>
      </c>
      <c r="P16" s="8" t="str">
        <f>'Πρώτος Γύρος'!O25</f>
        <v>ΓΥ</v>
      </c>
      <c r="Q16" s="8" t="str">
        <f>'Πρώτος Γύρος'!P25</f>
        <v>ΓΚ</v>
      </c>
      <c r="R16" s="8" t="str">
        <f>'Πρώτος Γύρος'!Q25</f>
        <v>Δ</v>
      </c>
      <c r="S16" s="8" t="str">
        <f>'Πρώτος Γύρος'!R25</f>
        <v>ΒΑΘ.</v>
      </c>
      <c r="T16" s="8" t="str">
        <f>'Πρώτος Γύρος'!S25</f>
        <v>PJ</v>
      </c>
    </row>
    <row r="17" spans="2:20" ht="13.5" thickTop="1" x14ac:dyDescent="0.2">
      <c r="B17" s="71">
        <v>41804</v>
      </c>
      <c r="C17" s="72">
        <v>0.91666666666666663</v>
      </c>
      <c r="D17" s="73" t="str">
        <f>Ώρες!I16</f>
        <v>Φορταλέζα</v>
      </c>
      <c r="E17" s="74" t="str">
        <f ca="1">IF(OR(B17="",C17="",B17&lt;$B$2),"Finalizado",IF(B17=$B$2,IF(AND(C17&lt;=$Q$22,$Q$22&lt;=(C17+0.08333333333)),"En juego",IF($Q$22&lt;C17,"HOY!","Finalizado")),IF($B$2&gt;B17,"Finalizado","Proximamente..")))</f>
        <v>Proximamente..</v>
      </c>
      <c r="F17" s="75" t="str">
        <f>Ομάδες!$D$17</f>
        <v>Ουρουγουάη</v>
      </c>
      <c r="G17" s="10"/>
      <c r="H17" s="86" t="str">
        <f>Ομάδες!$D$18</f>
        <v>Κόστα Ρίκα</v>
      </c>
      <c r="I17" s="11"/>
      <c r="L17" s="12" t="str">
        <f>'Πρώτος Γύρος'!K26</f>
        <v>Ουρουγουάη</v>
      </c>
      <c r="M17" s="12">
        <f>'Πρώτος Γύρος'!L26</f>
        <v>0</v>
      </c>
      <c r="N17" s="12">
        <f>'Πρώτος Γύρος'!M26</f>
        <v>0</v>
      </c>
      <c r="O17" s="12">
        <f>'Πρώτος Γύρος'!N26</f>
        <v>0</v>
      </c>
      <c r="P17" s="12">
        <f>'Πρώτος Γύρος'!O26</f>
        <v>0</v>
      </c>
      <c r="Q17" s="12">
        <f>'Πρώτος Γύρος'!P26</f>
        <v>0</v>
      </c>
      <c r="R17" s="12">
        <f>'Πρώτος Γύρος'!Q26</f>
        <v>0</v>
      </c>
      <c r="S17" s="12">
        <f>'Πρώτος Γύρος'!R26</f>
        <v>0</v>
      </c>
      <c r="T17" s="12">
        <f>'Πρώτος Γύρος'!S26</f>
        <v>0</v>
      </c>
    </row>
    <row r="18" spans="2:20" ht="13.5" thickBot="1" x14ac:dyDescent="0.25">
      <c r="B18" s="76">
        <v>41805</v>
      </c>
      <c r="C18" s="72">
        <v>4.1666666666666664E-2</v>
      </c>
      <c r="D18" s="73" t="str">
        <f>Ώρες!I17</f>
        <v>Μανάους</v>
      </c>
      <c r="E18" s="77" t="str">
        <f t="shared" ref="E18:E22" ca="1" si="0">IF(OR(B18="",C18="",B18&lt;$B$2),"Finalizado",IF(B18=$B$2,IF(AND(C18&lt;=$Q$22,$Q$22&lt;=(C18+0.08333333333)),"En juego",IF($Q$22&lt;C18,"HOY!","Finalizado")),IF($B$2&gt;B18,"Finalizado","Proximamente..")))</f>
        <v>Proximamente..</v>
      </c>
      <c r="F18" s="75" t="str">
        <f>Ομάδες!$D$19</f>
        <v>Αγγλία</v>
      </c>
      <c r="G18" s="13"/>
      <c r="H18" s="87" t="str">
        <f>Ομάδες!$D$20</f>
        <v>Ιταλία</v>
      </c>
      <c r="I18" s="14"/>
      <c r="L18" s="12" t="str">
        <f>'Πρώτος Γύρος'!K27</f>
        <v>Κόστα Ρίκα</v>
      </c>
      <c r="M18" s="12">
        <f>'Πρώτος Γύρος'!L27</f>
        <v>0</v>
      </c>
      <c r="N18" s="12">
        <f>'Πρώτος Γύρος'!M27</f>
        <v>0</v>
      </c>
      <c r="O18" s="12">
        <f>'Πρώτος Γύρος'!N27</f>
        <v>0</v>
      </c>
      <c r="P18" s="12">
        <f>'Πρώτος Γύρος'!O27</f>
        <v>0</v>
      </c>
      <c r="Q18" s="12">
        <f>'Πρώτος Γύρος'!P27</f>
        <v>0</v>
      </c>
      <c r="R18" s="12">
        <f>'Πρώτος Γύρος'!Q27</f>
        <v>0</v>
      </c>
      <c r="S18" s="12">
        <f>'Πρώτος Γύρος'!R27</f>
        <v>0</v>
      </c>
      <c r="T18" s="12">
        <f>'Πρώτος Γύρος'!S27</f>
        <v>0</v>
      </c>
    </row>
    <row r="19" spans="2:20" ht="13.5" thickTop="1" x14ac:dyDescent="0.2">
      <c r="B19" s="78">
        <v>41809</v>
      </c>
      <c r="C19" s="79">
        <v>0.91666666666666663</v>
      </c>
      <c r="D19" s="80" t="str">
        <f>Ώρες!I14</f>
        <v>Σάο Πάολο</v>
      </c>
      <c r="E19" s="74" t="str">
        <f t="shared" ca="1" si="0"/>
        <v>Proximamente..</v>
      </c>
      <c r="F19" s="81" t="str">
        <f>Ομάδες!$D$17</f>
        <v>Ουρουγουάη</v>
      </c>
      <c r="G19" s="13"/>
      <c r="H19" s="86" t="str">
        <f>Ομάδες!$D$19</f>
        <v>Αγγλία</v>
      </c>
      <c r="I19" s="14"/>
      <c r="L19" s="12" t="str">
        <f>'Πρώτος Γύρος'!K28</f>
        <v>Αγγλία</v>
      </c>
      <c r="M19" s="12">
        <f>'Πρώτος Γύρος'!L28</f>
        <v>0</v>
      </c>
      <c r="N19" s="12">
        <f>'Πρώτος Γύρος'!M28</f>
        <v>0</v>
      </c>
      <c r="O19" s="12">
        <f>'Πρώτος Γύρος'!N28</f>
        <v>0</v>
      </c>
      <c r="P19" s="12">
        <f>'Πρώτος Γύρος'!O28</f>
        <v>0</v>
      </c>
      <c r="Q19" s="12">
        <f>'Πρώτος Γύρος'!P28</f>
        <v>0</v>
      </c>
      <c r="R19" s="12">
        <f>'Πρώτος Γύρος'!Q28</f>
        <v>0</v>
      </c>
      <c r="S19" s="12">
        <f>'Πρώτος Γύρος'!R28</f>
        <v>0</v>
      </c>
      <c r="T19" s="12">
        <f>'Πρώτος Γύρος'!S28</f>
        <v>0</v>
      </c>
    </row>
    <row r="20" spans="2:20" ht="13.5" thickBot="1" x14ac:dyDescent="0.25">
      <c r="B20" s="76">
        <v>41810</v>
      </c>
      <c r="C20" s="82">
        <v>0.79166666666666663</v>
      </c>
      <c r="D20" s="83" t="str">
        <f>Ώρες!I19</f>
        <v>Ρεσίφε</v>
      </c>
      <c r="E20" s="77" t="str">
        <f t="shared" ca="1" si="0"/>
        <v>Proximamente..</v>
      </c>
      <c r="F20" s="84" t="str">
        <f>Ομάδες!$D$20</f>
        <v>Ιταλία</v>
      </c>
      <c r="G20" s="13"/>
      <c r="H20" s="87" t="str">
        <f>Ομάδες!$D$18</f>
        <v>Κόστα Ρίκα</v>
      </c>
      <c r="I20" s="14"/>
      <c r="L20" s="15" t="str">
        <f>'Πρώτος Γύρος'!K29</f>
        <v>Ιταλία</v>
      </c>
      <c r="M20" s="15">
        <f>'Πρώτος Γύρος'!L29</f>
        <v>0</v>
      </c>
      <c r="N20" s="15">
        <f>'Πρώτος Γύρος'!M29</f>
        <v>0</v>
      </c>
      <c r="O20" s="15">
        <f>'Πρώτος Γύρος'!N29</f>
        <v>0</v>
      </c>
      <c r="P20" s="15">
        <f>'Πρώτος Γύρος'!O29</f>
        <v>0</v>
      </c>
      <c r="Q20" s="15">
        <f>'Πρώτος Γύρος'!P29</f>
        <v>0</v>
      </c>
      <c r="R20" s="15">
        <f>'Πρώτος Γύρος'!Q29</f>
        <v>0</v>
      </c>
      <c r="S20" s="15">
        <f>'Πρώτος Γύρος'!R29</f>
        <v>0</v>
      </c>
      <c r="T20" s="15">
        <f>'Πρώτος Γύρος'!S29</f>
        <v>0</v>
      </c>
    </row>
    <row r="21" spans="2:20" ht="13.5" thickTop="1" x14ac:dyDescent="0.2">
      <c r="B21" s="85">
        <v>41814</v>
      </c>
      <c r="C21" s="72">
        <v>0.79166666666666663</v>
      </c>
      <c r="D21" s="73" t="str">
        <f>Ώρες!I15</f>
        <v>Νατάλ</v>
      </c>
      <c r="E21" s="74" t="str">
        <f t="shared" ca="1" si="0"/>
        <v>Proximamente..</v>
      </c>
      <c r="F21" s="75" t="str">
        <f>Ομάδες!$D$20</f>
        <v>Ιταλία</v>
      </c>
      <c r="G21" s="13"/>
      <c r="H21" s="86" t="str">
        <f>Ομάδες!$D$17</f>
        <v>Ουρουγουάη</v>
      </c>
      <c r="I21" s="14"/>
    </row>
    <row r="22" spans="2:20" ht="13.5" thickBot="1" x14ac:dyDescent="0.25">
      <c r="B22" s="76">
        <v>41814</v>
      </c>
      <c r="C22" s="82">
        <v>0.79166666666666663</v>
      </c>
      <c r="D22" s="83" t="str">
        <f>Ώρες!I25</f>
        <v>Μπέλο Οριζόντε</v>
      </c>
      <c r="E22" s="77" t="str">
        <f t="shared" ca="1" si="0"/>
        <v>Proximamente..</v>
      </c>
      <c r="F22" s="84" t="str">
        <f>Ομάδες!$D$18</f>
        <v>Κόστα Ρίκα</v>
      </c>
      <c r="G22" s="16"/>
      <c r="H22" s="87" t="str">
        <f>Ομάδες!$D$19</f>
        <v>Αγγλία</v>
      </c>
      <c r="I22" s="17"/>
      <c r="Q22" s="58">
        <f ca="1">TIME(Q23,Q24,0)</f>
        <v>0.76944444444444438</v>
      </c>
    </row>
    <row r="23" spans="2:20" ht="13.5" thickTop="1" x14ac:dyDescent="0.2">
      <c r="Q23" s="59">
        <f ca="1">HOUR(C2)</f>
        <v>18</v>
      </c>
    </row>
    <row r="24" spans="2:20" ht="13.5" thickBot="1" x14ac:dyDescent="0.25">
      <c r="Q24" s="59">
        <f ca="1">MINUTE(C2)</f>
        <v>28</v>
      </c>
    </row>
    <row r="25" spans="2:20" x14ac:dyDescent="0.2">
      <c r="L25" s="100" t="s">
        <v>139</v>
      </c>
      <c r="M25" s="100"/>
      <c r="N25" s="100"/>
      <c r="O25" s="100"/>
    </row>
    <row r="26" spans="2:20" x14ac:dyDescent="0.2">
      <c r="L26" s="101" t="str">
        <f>IF(T17=3,L17,"1D")</f>
        <v>1D</v>
      </c>
      <c r="M26" s="101"/>
      <c r="N26" s="101"/>
      <c r="O26" s="101"/>
    </row>
    <row r="27" spans="2:20" ht="13.5" thickBot="1" x14ac:dyDescent="0.25">
      <c r="L27" s="102" t="str">
        <f>IF(T18=3,L18,"2D")</f>
        <v>2D</v>
      </c>
      <c r="M27" s="102"/>
      <c r="N27" s="102"/>
      <c r="O27" s="102"/>
    </row>
    <row r="29" spans="2:20" x14ac:dyDescent="0.2">
      <c r="L29" s="89"/>
    </row>
    <row r="32" spans="2:20" x14ac:dyDescent="0.2">
      <c r="L32" s="88"/>
    </row>
    <row r="33" spans="12:12" x14ac:dyDescent="0.2">
      <c r="L33" s="88"/>
    </row>
    <row r="34" spans="12:12" x14ac:dyDescent="0.2">
      <c r="L34" s="88"/>
    </row>
  </sheetData>
  <customSheetViews>
    <customSheetView guid="{95E402C5-2143-4FCF-AAA0-B9B99670355B}" hiddenColumns="1">
      <selection activeCell="C2" sqref="C2"/>
      <pageMargins left="0.74791666666666667" right="0.74791666666666667" top="0.98402777777777772" bottom="0.98402777777777772" header="0.51180555555555551" footer="0.51180555555555551"/>
      <pageSetup paperSize="9" firstPageNumber="0" orientation="portrait" horizontalDpi="300" verticalDpi="300"/>
      <headerFooter alignWithMargins="0"/>
    </customSheetView>
  </customSheetViews>
  <mergeCells count="5">
    <mergeCell ref="F16:I16"/>
    <mergeCell ref="L25:O25"/>
    <mergeCell ref="L26:O26"/>
    <mergeCell ref="L27:O27"/>
    <mergeCell ref="C12:F14"/>
  </mergeCells>
  <conditionalFormatting sqref="E17:E22">
    <cfRule type="cellIs" dxfId="20" priority="1" stopIfTrue="1" operator="equal">
      <formula>"HOY!"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ignoredErrors>
    <ignoredError sqref="F18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T34"/>
  <sheetViews>
    <sheetView workbookViewId="0">
      <selection activeCell="C12" sqref="C12:F14"/>
    </sheetView>
  </sheetViews>
  <sheetFormatPr defaultColWidth="11.42578125" defaultRowHeight="12.75" x14ac:dyDescent="0.2"/>
  <cols>
    <col min="1" max="1" width="5.5703125" style="1" customWidth="1"/>
    <col min="2" max="2" width="12.140625" style="1" bestFit="1" customWidth="1"/>
    <col min="3" max="3" width="12.42578125" style="1" bestFit="1" customWidth="1"/>
    <col min="4" max="4" width="33.28515625" style="1" customWidth="1"/>
    <col min="5" max="5" width="15.28515625" style="1" hidden="1" customWidth="1"/>
    <col min="6" max="6" width="16.140625" style="1" customWidth="1"/>
    <col min="7" max="7" width="3.7109375" style="1" customWidth="1"/>
    <col min="8" max="8" width="16.140625" style="1" customWidth="1"/>
    <col min="9" max="9" width="3.7109375" style="1" customWidth="1"/>
    <col min="10" max="11" width="4.5703125" style="1" customWidth="1"/>
    <col min="12" max="12" width="14.7109375" style="1" customWidth="1"/>
    <col min="13" max="19" width="4.28515625" style="1" customWidth="1"/>
    <col min="20" max="20" width="3.28515625" style="1" customWidth="1"/>
    <col min="21" max="16384" width="11.42578125" style="1"/>
  </cols>
  <sheetData>
    <row r="1" spans="2:20" ht="23.25" x14ac:dyDescent="0.35">
      <c r="B1" s="2" t="s">
        <v>130</v>
      </c>
      <c r="C1" s="57" t="s">
        <v>131</v>
      </c>
      <c r="D1" s="3"/>
      <c r="E1" s="4"/>
    </row>
    <row r="2" spans="2:20" x14ac:dyDescent="0.2">
      <c r="B2" s="33">
        <f ca="1">TODAY()</f>
        <v>41720</v>
      </c>
      <c r="C2" s="96">
        <f ca="1">NOW()</f>
        <v>41720.769673263887</v>
      </c>
    </row>
    <row r="3" spans="2:20" x14ac:dyDescent="0.2">
      <c r="C3" s="5"/>
      <c r="D3" s="6"/>
      <c r="E3" s="5"/>
    </row>
    <row r="12" spans="2:20" ht="12.75" customHeight="1" x14ac:dyDescent="0.2">
      <c r="C12" s="103" t="s">
        <v>154</v>
      </c>
      <c r="D12" s="103"/>
      <c r="E12" s="103"/>
      <c r="F12" s="103"/>
    </row>
    <row r="13" spans="2:20" ht="13.5" customHeight="1" x14ac:dyDescent="0.2">
      <c r="C13" s="103"/>
      <c r="D13" s="103"/>
      <c r="E13" s="103"/>
      <c r="F13" s="103"/>
    </row>
    <row r="14" spans="2:20" ht="12.75" customHeight="1" x14ac:dyDescent="0.2">
      <c r="C14" s="103"/>
      <c r="D14" s="103"/>
      <c r="E14" s="103"/>
      <c r="F14" s="103"/>
    </row>
    <row r="15" spans="2:20" ht="13.5" thickBot="1" x14ac:dyDescent="0.25"/>
    <row r="16" spans="2:20" ht="14.25" thickTop="1" thickBot="1" x14ac:dyDescent="0.25">
      <c r="B16" s="68" t="s">
        <v>134</v>
      </c>
      <c r="C16" s="69" t="s">
        <v>135</v>
      </c>
      <c r="D16" s="70" t="s">
        <v>137</v>
      </c>
      <c r="E16" s="70" t="s">
        <v>136</v>
      </c>
      <c r="F16" s="99" t="s">
        <v>138</v>
      </c>
      <c r="G16" s="99"/>
      <c r="H16" s="99"/>
      <c r="I16" s="99"/>
      <c r="L16" s="7" t="str">
        <f>'Πρώτος Γύρος'!K32</f>
        <v>Ομάδα</v>
      </c>
      <c r="M16" s="8" t="str">
        <f>'Πρώτος Γύρος'!L32</f>
        <v>Ν</v>
      </c>
      <c r="N16" s="8" t="str">
        <f>'Πρώτος Γύρος'!M32</f>
        <v>Ι</v>
      </c>
      <c r="O16" s="8" t="str">
        <f>'Πρώτος Γύρος'!N32</f>
        <v>Η</v>
      </c>
      <c r="P16" s="8" t="str">
        <f>'Πρώτος Γύρος'!O32</f>
        <v>ΓΥ</v>
      </c>
      <c r="Q16" s="8" t="str">
        <f>'Πρώτος Γύρος'!P32</f>
        <v>ΓΚ</v>
      </c>
      <c r="R16" s="8" t="str">
        <f>'Πρώτος Γύρος'!Q32</f>
        <v>Δ</v>
      </c>
      <c r="S16" s="8" t="str">
        <f>'Πρώτος Γύρος'!R32</f>
        <v>ΒΑΘ.</v>
      </c>
      <c r="T16" s="8" t="str">
        <f>'Πρώτος Γύρος'!S32</f>
        <v>PJ</v>
      </c>
    </row>
    <row r="17" spans="2:20" ht="13.5" thickTop="1" x14ac:dyDescent="0.2">
      <c r="B17" s="71">
        <v>41805</v>
      </c>
      <c r="C17" s="72">
        <v>0.79166666666666663</v>
      </c>
      <c r="D17" s="73" t="str">
        <f>Ώρες!I18</f>
        <v>Μπραζίλια</v>
      </c>
      <c r="E17" s="74" t="str">
        <f ca="1">IF(OR(B17="",C17="",B17&lt;$B$2),"Finalizado",IF(B17=$B$2,IF(AND(C17&lt;=$Q$22,$Q$22&lt;=(C17+0.08333333333)),"En juego",IF($Q$22&lt;C17,"HOY!","Finalizado")),IF($B$2&gt;B17,"Finalizado","Proximamente..")))</f>
        <v>Proximamente..</v>
      </c>
      <c r="F17" s="75" t="str">
        <f>Ομάδες!$G$2</f>
        <v>Ελβετία</v>
      </c>
      <c r="G17" s="10"/>
      <c r="H17" s="86" t="str">
        <f>Ομάδες!$G$3</f>
        <v>Εκουαδόρ</v>
      </c>
      <c r="I17" s="11"/>
      <c r="L17" s="12" t="str">
        <f>'Πρώτος Γύρος'!K33</f>
        <v>Ελβετία</v>
      </c>
      <c r="M17" s="12">
        <f>'Πρώτος Γύρος'!L33</f>
        <v>0</v>
      </c>
      <c r="N17" s="12">
        <f>'Πρώτος Γύρος'!M33</f>
        <v>0</v>
      </c>
      <c r="O17" s="12">
        <f>'Πρώτος Γύρος'!N33</f>
        <v>0</v>
      </c>
      <c r="P17" s="12">
        <f>'Πρώτος Γύρος'!O33</f>
        <v>0</v>
      </c>
      <c r="Q17" s="12">
        <f>'Πρώτος Γύρος'!P33</f>
        <v>0</v>
      </c>
      <c r="R17" s="12">
        <f>'Πρώτος Γύρος'!Q33</f>
        <v>0</v>
      </c>
      <c r="S17" s="12">
        <f>'Πρώτος Γύρος'!R33</f>
        <v>0</v>
      </c>
      <c r="T17" s="12">
        <f>'Πρώτος Γύρος'!S33</f>
        <v>0</v>
      </c>
    </row>
    <row r="18" spans="2:20" ht="13.5" thickBot="1" x14ac:dyDescent="0.25">
      <c r="B18" s="76">
        <v>41805</v>
      </c>
      <c r="C18" s="72">
        <v>0.91666666666666663</v>
      </c>
      <c r="D18" s="73" t="str">
        <f>Ώρες!I23</f>
        <v>Πόρτο Αλέγκρε</v>
      </c>
      <c r="E18" s="77" t="str">
        <f t="shared" ref="E18:E22" ca="1" si="0">IF(OR(B18="",C18="",B18&lt;$B$2),"Finalizado",IF(B18=$B$2,IF(AND(C18&lt;=$Q$22,$Q$22&lt;=(C18+0.08333333333)),"En juego",IF($Q$22&lt;C18,"HOY!","Finalizado")),IF($B$2&gt;B18,"Finalizado","Proximamente..")))</f>
        <v>Proximamente..</v>
      </c>
      <c r="F18" s="75" t="str">
        <f>Ομάδες!$G$4</f>
        <v>Γαλλία</v>
      </c>
      <c r="G18" s="13"/>
      <c r="H18" s="87" t="str">
        <f>Ομάδες!$G$5</f>
        <v>Ονδούρα</v>
      </c>
      <c r="I18" s="14"/>
      <c r="L18" s="12" t="str">
        <f>'Πρώτος Γύρος'!K34</f>
        <v>Εκουαδόρ</v>
      </c>
      <c r="M18" s="12">
        <f>'Πρώτος Γύρος'!L34</f>
        <v>0</v>
      </c>
      <c r="N18" s="12">
        <f>'Πρώτος Γύρος'!M34</f>
        <v>0</v>
      </c>
      <c r="O18" s="12">
        <f>'Πρώτος Γύρος'!N34</f>
        <v>0</v>
      </c>
      <c r="P18" s="12">
        <f>'Πρώτος Γύρος'!O34</f>
        <v>0</v>
      </c>
      <c r="Q18" s="12">
        <f>'Πρώτος Γύρος'!P34</f>
        <v>0</v>
      </c>
      <c r="R18" s="12">
        <f>'Πρώτος Γύρος'!Q34</f>
        <v>0</v>
      </c>
      <c r="S18" s="12">
        <f>'Πρώτος Γύρος'!R34</f>
        <v>0</v>
      </c>
      <c r="T18" s="12">
        <f>'Πρώτος Γύρος'!S34</f>
        <v>0</v>
      </c>
    </row>
    <row r="19" spans="2:20" ht="13.5" thickTop="1" x14ac:dyDescent="0.2">
      <c r="B19" s="78">
        <v>41810</v>
      </c>
      <c r="C19" s="79">
        <v>0.95833333333333337</v>
      </c>
      <c r="D19" s="80" t="str">
        <f>Ώρες!I20</f>
        <v>Σαλβαδόρ</v>
      </c>
      <c r="E19" s="74" t="str">
        <f t="shared" ca="1" si="0"/>
        <v>Proximamente..</v>
      </c>
      <c r="F19" s="81" t="str">
        <f>Ομάδες!$G$2</f>
        <v>Ελβετία</v>
      </c>
      <c r="G19" s="13"/>
      <c r="H19" s="86" t="str">
        <f>Ομάδες!$G$4</f>
        <v>Γαλλία</v>
      </c>
      <c r="I19" s="14"/>
      <c r="L19" s="12" t="str">
        <f>'Πρώτος Γύρος'!K35</f>
        <v>Γαλλία</v>
      </c>
      <c r="M19" s="12">
        <f>'Πρώτος Γύρος'!L35</f>
        <v>0</v>
      </c>
      <c r="N19" s="12">
        <f>'Πρώτος Γύρος'!M35</f>
        <v>0</v>
      </c>
      <c r="O19" s="12">
        <f>'Πρώτος Γύρος'!N35</f>
        <v>0</v>
      </c>
      <c r="P19" s="12">
        <f>'Πρώτος Γύρος'!O35</f>
        <v>0</v>
      </c>
      <c r="Q19" s="12">
        <f>'Πρώτος Γύρος'!P35</f>
        <v>0</v>
      </c>
      <c r="R19" s="12">
        <f>'Πρώτος Γύρος'!Q35</f>
        <v>0</v>
      </c>
      <c r="S19" s="12">
        <f>'Πρώτος Γύρος'!R35</f>
        <v>0</v>
      </c>
      <c r="T19" s="12">
        <f>'Πρώτος Γύρος'!S35</f>
        <v>0</v>
      </c>
    </row>
    <row r="20" spans="2:20" ht="13.5" thickBot="1" x14ac:dyDescent="0.25">
      <c r="B20" s="76">
        <v>41811</v>
      </c>
      <c r="C20" s="82">
        <v>4.1666666666666664E-2</v>
      </c>
      <c r="D20" s="83" t="str">
        <f>Ώρες!I24</f>
        <v>Κουριτίμπα</v>
      </c>
      <c r="E20" s="77" t="str">
        <f t="shared" ca="1" si="0"/>
        <v>Proximamente..</v>
      </c>
      <c r="F20" s="84" t="str">
        <f>Ομάδες!$G$5</f>
        <v>Ονδούρα</v>
      </c>
      <c r="G20" s="13"/>
      <c r="H20" s="87" t="str">
        <f>Ομάδες!$G$3</f>
        <v>Εκουαδόρ</v>
      </c>
      <c r="I20" s="14"/>
      <c r="L20" s="15" t="str">
        <f>'Πρώτος Γύρος'!K36</f>
        <v>Ονδούρα</v>
      </c>
      <c r="M20" s="15">
        <f>'Πρώτος Γύρος'!L36</f>
        <v>0</v>
      </c>
      <c r="N20" s="15">
        <f>'Πρώτος Γύρος'!M36</f>
        <v>0</v>
      </c>
      <c r="O20" s="15">
        <f>'Πρώτος Γύρος'!N36</f>
        <v>0</v>
      </c>
      <c r="P20" s="15">
        <f>'Πρώτος Γύρος'!O36</f>
        <v>0</v>
      </c>
      <c r="Q20" s="15">
        <f>'Πρώτος Γύρος'!P36</f>
        <v>0</v>
      </c>
      <c r="R20" s="15">
        <f>'Πρώτος Γύρος'!Q36</f>
        <v>0</v>
      </c>
      <c r="S20" s="15">
        <f>'Πρώτος Γύρος'!R36</f>
        <v>0</v>
      </c>
      <c r="T20" s="15">
        <f>'Πρώτος Γύρος'!S36</f>
        <v>0</v>
      </c>
    </row>
    <row r="21" spans="2:20" ht="13.5" thickTop="1" x14ac:dyDescent="0.2">
      <c r="B21" s="85">
        <v>41815</v>
      </c>
      <c r="C21" s="72">
        <v>0.79166666666666663</v>
      </c>
      <c r="D21" s="73" t="str">
        <f>Ώρες!I17</f>
        <v>Μανάους</v>
      </c>
      <c r="E21" s="74" t="str">
        <f t="shared" ca="1" si="0"/>
        <v>Proximamente..</v>
      </c>
      <c r="F21" s="75" t="str">
        <f>Ομάδες!$G$5</f>
        <v>Ονδούρα</v>
      </c>
      <c r="G21" s="13"/>
      <c r="H21" s="86" t="str">
        <f>Ομάδες!$G$2</f>
        <v>Ελβετία</v>
      </c>
      <c r="I21" s="14"/>
    </row>
    <row r="22" spans="2:20" ht="13.5" thickBot="1" x14ac:dyDescent="0.25">
      <c r="B22" s="76">
        <v>41815</v>
      </c>
      <c r="C22" s="82">
        <v>0.79166666666666663</v>
      </c>
      <c r="D22" s="83" t="str">
        <f>Ώρες!I22</f>
        <v>Ρίο Ντε Τζανέιρο</v>
      </c>
      <c r="E22" s="77" t="str">
        <f t="shared" ca="1" si="0"/>
        <v>Proximamente..</v>
      </c>
      <c r="F22" s="84" t="str">
        <f>Ομάδες!$G$3</f>
        <v>Εκουαδόρ</v>
      </c>
      <c r="G22" s="16"/>
      <c r="H22" s="87" t="str">
        <f>Ομάδες!$G$4</f>
        <v>Γαλλία</v>
      </c>
      <c r="I22" s="17"/>
      <c r="Q22" s="58">
        <f ca="1">TIME(Q23,Q24,0)</f>
        <v>0.76944444444444438</v>
      </c>
    </row>
    <row r="23" spans="2:20" ht="13.5" thickTop="1" x14ac:dyDescent="0.2">
      <c r="Q23" s="59">
        <f ca="1">HOUR(C2)</f>
        <v>18</v>
      </c>
    </row>
    <row r="24" spans="2:20" ht="13.5" thickBot="1" x14ac:dyDescent="0.25">
      <c r="Q24" s="59">
        <f ca="1">MINUTE(C2)</f>
        <v>28</v>
      </c>
    </row>
    <row r="25" spans="2:20" x14ac:dyDescent="0.2">
      <c r="L25" s="100" t="s">
        <v>139</v>
      </c>
      <c r="M25" s="100"/>
      <c r="N25" s="100"/>
      <c r="O25" s="100"/>
    </row>
    <row r="26" spans="2:20" x14ac:dyDescent="0.2">
      <c r="L26" s="101" t="str">
        <f>IF(T17=3,L17,"1E")</f>
        <v>1E</v>
      </c>
      <c r="M26" s="101"/>
      <c r="N26" s="101"/>
      <c r="O26" s="101"/>
    </row>
    <row r="27" spans="2:20" ht="13.5" thickBot="1" x14ac:dyDescent="0.25">
      <c r="L27" s="102" t="str">
        <f>IF(T18=3,L18,"2E")</f>
        <v>2E</v>
      </c>
      <c r="M27" s="102"/>
      <c r="N27" s="102"/>
      <c r="O27" s="102"/>
    </row>
    <row r="29" spans="2:20" x14ac:dyDescent="0.2">
      <c r="L29" s="89"/>
    </row>
    <row r="30" spans="2:20" x14ac:dyDescent="0.2">
      <c r="E30"/>
    </row>
    <row r="32" spans="2:20" x14ac:dyDescent="0.2">
      <c r="L32" s="88"/>
    </row>
    <row r="33" spans="12:12" x14ac:dyDescent="0.2">
      <c r="L33" s="88"/>
    </row>
    <row r="34" spans="12:12" x14ac:dyDescent="0.2">
      <c r="L34" s="88"/>
    </row>
  </sheetData>
  <customSheetViews>
    <customSheetView guid="{95E402C5-2143-4FCF-AAA0-B9B99670355B}" hiddenColumns="1">
      <selection activeCell="C12" sqref="C12:F14"/>
      <pageMargins left="0.74791666666666667" right="0.74791666666666667" top="0.98402777777777772" bottom="0.98402777777777772" header="0.51180555555555551" footer="0.51180555555555551"/>
      <pageSetup paperSize="9" firstPageNumber="0" orientation="portrait" horizontalDpi="300" verticalDpi="300"/>
      <headerFooter alignWithMargins="0"/>
    </customSheetView>
  </customSheetViews>
  <mergeCells count="5">
    <mergeCell ref="F16:I16"/>
    <mergeCell ref="L25:O25"/>
    <mergeCell ref="L26:O26"/>
    <mergeCell ref="L27:O27"/>
    <mergeCell ref="C12:F14"/>
  </mergeCells>
  <conditionalFormatting sqref="E17:E22">
    <cfRule type="cellIs" dxfId="19" priority="1" stopIfTrue="1" operator="equal">
      <formula>"HOY!"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ignoredErrors>
    <ignoredError sqref="F18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T34"/>
  <sheetViews>
    <sheetView workbookViewId="0">
      <selection activeCell="C12" sqref="C12:F14"/>
    </sheetView>
  </sheetViews>
  <sheetFormatPr defaultColWidth="11.42578125" defaultRowHeight="12.75" x14ac:dyDescent="0.2"/>
  <cols>
    <col min="1" max="1" width="5.5703125" style="1" customWidth="1"/>
    <col min="2" max="2" width="12.140625" style="1" bestFit="1" customWidth="1"/>
    <col min="3" max="3" width="12.42578125" style="1" bestFit="1" customWidth="1"/>
    <col min="4" max="4" width="33.28515625" style="1" customWidth="1"/>
    <col min="5" max="5" width="15.28515625" style="1" hidden="1" customWidth="1"/>
    <col min="6" max="6" width="16.140625" style="1" customWidth="1"/>
    <col min="7" max="7" width="3.7109375" style="1" customWidth="1"/>
    <col min="8" max="8" width="16.140625" style="1" customWidth="1"/>
    <col min="9" max="9" width="3.7109375" style="1" customWidth="1"/>
    <col min="10" max="11" width="4.5703125" style="1" customWidth="1"/>
    <col min="12" max="12" width="14.7109375" style="1" customWidth="1"/>
    <col min="13" max="19" width="4.28515625" style="1" customWidth="1"/>
    <col min="20" max="20" width="3.28515625" style="1" customWidth="1"/>
    <col min="21" max="16384" width="11.42578125" style="1"/>
  </cols>
  <sheetData>
    <row r="1" spans="2:20" ht="23.25" x14ac:dyDescent="0.35">
      <c r="B1" s="2" t="s">
        <v>130</v>
      </c>
      <c r="C1" s="57" t="s">
        <v>131</v>
      </c>
      <c r="D1" s="3"/>
      <c r="E1" s="4"/>
    </row>
    <row r="2" spans="2:20" x14ac:dyDescent="0.2">
      <c r="B2" s="33">
        <f ca="1">TODAY()</f>
        <v>41720</v>
      </c>
      <c r="C2" s="96">
        <f ca="1">NOW()</f>
        <v>41720.769673263887</v>
      </c>
    </row>
    <row r="3" spans="2:20" x14ac:dyDescent="0.2">
      <c r="C3" s="5"/>
      <c r="D3" s="6"/>
      <c r="E3" s="5"/>
    </row>
    <row r="12" spans="2:20" ht="12.75" customHeight="1" x14ac:dyDescent="0.2">
      <c r="C12" s="103" t="s">
        <v>153</v>
      </c>
      <c r="D12" s="103"/>
      <c r="E12" s="103"/>
      <c r="F12" s="103"/>
    </row>
    <row r="13" spans="2:20" ht="13.5" customHeight="1" x14ac:dyDescent="0.2">
      <c r="C13" s="103"/>
      <c r="D13" s="103"/>
      <c r="E13" s="103"/>
      <c r="F13" s="103"/>
    </row>
    <row r="14" spans="2:20" ht="12.75" customHeight="1" x14ac:dyDescent="0.2">
      <c r="C14" s="103"/>
      <c r="D14" s="103"/>
      <c r="E14" s="103"/>
      <c r="F14" s="103"/>
    </row>
    <row r="15" spans="2:20" ht="13.5" thickBot="1" x14ac:dyDescent="0.25"/>
    <row r="16" spans="2:20" ht="14.25" thickTop="1" thickBot="1" x14ac:dyDescent="0.25">
      <c r="B16" s="68" t="s">
        <v>134</v>
      </c>
      <c r="C16" s="69" t="s">
        <v>135</v>
      </c>
      <c r="D16" s="70" t="s">
        <v>137</v>
      </c>
      <c r="E16" s="70" t="s">
        <v>136</v>
      </c>
      <c r="F16" s="99" t="s">
        <v>138</v>
      </c>
      <c r="G16" s="99"/>
      <c r="H16" s="99"/>
      <c r="I16" s="99"/>
      <c r="L16" s="7" t="str">
        <f>'Πρώτος Γύρος'!K39</f>
        <v>Ομάδα</v>
      </c>
      <c r="M16" s="8" t="str">
        <f>'Πρώτος Γύρος'!L39</f>
        <v>Ν</v>
      </c>
      <c r="N16" s="8" t="str">
        <f>'Πρώτος Γύρος'!M39</f>
        <v>Ι</v>
      </c>
      <c r="O16" s="8" t="str">
        <f>'Πρώτος Γύρος'!N39</f>
        <v>Η</v>
      </c>
      <c r="P16" s="8" t="str">
        <f>'Πρώτος Γύρος'!O39</f>
        <v>ΓΥ</v>
      </c>
      <c r="Q16" s="8" t="str">
        <f>'Πρώτος Γύρος'!P39</f>
        <v>ΓΚ</v>
      </c>
      <c r="R16" s="8" t="str">
        <f>'Πρώτος Γύρος'!Q39</f>
        <v>Δ</v>
      </c>
      <c r="S16" s="8" t="str">
        <f>'Πρώτος Γύρος'!R39</f>
        <v>ΒΑΘ.</v>
      </c>
      <c r="T16" s="8" t="str">
        <f>'Πρώτος Γύρος'!S39</f>
        <v>PJ</v>
      </c>
    </row>
    <row r="17" spans="2:20" ht="13.5" thickTop="1" x14ac:dyDescent="0.2">
      <c r="B17" s="71">
        <v>41806</v>
      </c>
      <c r="C17" s="72">
        <v>4.1666666666666664E-2</v>
      </c>
      <c r="D17" s="73" t="str">
        <f>Ώρες!I22</f>
        <v>Ρίο Ντε Τζανέιρο</v>
      </c>
      <c r="E17" s="74" t="str">
        <f ca="1">IF(OR(B17="",C17="",B17&lt;$B$2),"Finalizado",IF(B17=$B$2,IF(AND(C17&lt;=$Q$22,$Q$22&lt;=(C17+0.08333333333)),"En juego",IF($Q$22&lt;C17,"HOY!","Finalizado")),IF($B$2&gt;B17,"Finalizado","Proximamente..")))</f>
        <v>Proximamente..</v>
      </c>
      <c r="F17" s="75" t="str">
        <f>Ομάδες!$G$7</f>
        <v>Αργεντινή</v>
      </c>
      <c r="G17" s="10"/>
      <c r="H17" s="86" t="str">
        <f>Ομάδες!$G$8</f>
        <v>Βοσνία-Ερζεγοβίνη</v>
      </c>
      <c r="I17" s="11"/>
      <c r="L17" s="12" t="str">
        <f>'Πρώτος Γύρος'!K40</f>
        <v>Αργεντινή</v>
      </c>
      <c r="M17" s="12">
        <f>'Πρώτος Γύρος'!L40</f>
        <v>0</v>
      </c>
      <c r="N17" s="12">
        <f>'Πρώτος Γύρος'!M40</f>
        <v>0</v>
      </c>
      <c r="O17" s="12">
        <f>'Πρώτος Γύρος'!N40</f>
        <v>0</v>
      </c>
      <c r="P17" s="12">
        <f>'Πρώτος Γύρος'!O40</f>
        <v>0</v>
      </c>
      <c r="Q17" s="12">
        <f>'Πρώτος Γύρος'!P40</f>
        <v>0</v>
      </c>
      <c r="R17" s="12">
        <f>'Πρώτος Γύρος'!Q40</f>
        <v>0</v>
      </c>
      <c r="S17" s="12">
        <f>'Πρώτος Γύρος'!R40</f>
        <v>0</v>
      </c>
      <c r="T17" s="12">
        <f>'Πρώτος Γύρος'!S40</f>
        <v>0</v>
      </c>
    </row>
    <row r="18" spans="2:20" ht="13.5" thickBot="1" x14ac:dyDescent="0.25">
      <c r="B18" s="76">
        <v>41806</v>
      </c>
      <c r="C18" s="72">
        <v>0.91666666666666663</v>
      </c>
      <c r="D18" s="73" t="str">
        <f>Ώρες!I24</f>
        <v>Κουριτίμπα</v>
      </c>
      <c r="E18" s="77" t="str">
        <f t="shared" ref="E18:E22" ca="1" si="0">IF(OR(B18="",C18="",B18&lt;$B$2),"Finalizado",IF(B18=$B$2,IF(AND(C18&lt;=$Q$22,$Q$22&lt;=(C18+0.08333333333)),"En juego",IF($Q$22&lt;C18,"HOY!","Finalizado")),IF($B$2&gt;B18,"Finalizado","Proximamente..")))</f>
        <v>Proximamente..</v>
      </c>
      <c r="F18" s="75" t="str">
        <f>Ομάδες!$G$9</f>
        <v>Ιράν</v>
      </c>
      <c r="G18" s="13"/>
      <c r="H18" s="87" t="str">
        <f>Ομάδες!$G$10</f>
        <v>Νιγηρία</v>
      </c>
      <c r="I18" s="14"/>
      <c r="L18" s="12" t="str">
        <f>'Πρώτος Γύρος'!K41</f>
        <v>Βοσνία-Ερζεγοβίνη</v>
      </c>
      <c r="M18" s="12">
        <f>'Πρώτος Γύρος'!L41</f>
        <v>0</v>
      </c>
      <c r="N18" s="12">
        <f>'Πρώτος Γύρος'!M41</f>
        <v>0</v>
      </c>
      <c r="O18" s="12">
        <f>'Πρώτος Γύρος'!N41</f>
        <v>0</v>
      </c>
      <c r="P18" s="12">
        <f>'Πρώτος Γύρος'!O41</f>
        <v>0</v>
      </c>
      <c r="Q18" s="12">
        <f>'Πρώτος Γύρος'!P41</f>
        <v>0</v>
      </c>
      <c r="R18" s="12">
        <f>'Πρώτος Γύρος'!Q41</f>
        <v>0</v>
      </c>
      <c r="S18" s="12">
        <f>'Πρώτος Γύρος'!R41</f>
        <v>0</v>
      </c>
      <c r="T18" s="12">
        <f>'Πρώτος Γύρος'!S41</f>
        <v>0</v>
      </c>
    </row>
    <row r="19" spans="2:20" ht="13.5" thickTop="1" x14ac:dyDescent="0.2">
      <c r="B19" s="78">
        <v>41811</v>
      </c>
      <c r="C19" s="79">
        <v>0.79166666666666663</v>
      </c>
      <c r="D19" s="80" t="str">
        <f>Ώρες!I25</f>
        <v>Μπέλο Οριζόντε</v>
      </c>
      <c r="E19" s="74" t="str">
        <f t="shared" ca="1" si="0"/>
        <v>Proximamente..</v>
      </c>
      <c r="F19" s="81" t="str">
        <f>Ομάδες!$G$7</f>
        <v>Αργεντινή</v>
      </c>
      <c r="G19" s="13"/>
      <c r="H19" s="86" t="str">
        <f>Ομάδες!$G$9</f>
        <v>Ιράν</v>
      </c>
      <c r="I19" s="14"/>
      <c r="L19" s="12" t="str">
        <f>'Πρώτος Γύρος'!K42</f>
        <v>Ιράν</v>
      </c>
      <c r="M19" s="12">
        <f>'Πρώτος Γύρος'!L42</f>
        <v>0</v>
      </c>
      <c r="N19" s="12">
        <f>'Πρώτος Γύρος'!M42</f>
        <v>0</v>
      </c>
      <c r="O19" s="12">
        <f>'Πρώτος Γύρος'!N42</f>
        <v>0</v>
      </c>
      <c r="P19" s="12">
        <f>'Πρώτος Γύρος'!O42</f>
        <v>0</v>
      </c>
      <c r="Q19" s="12">
        <f>'Πρώτος Γύρος'!P42</f>
        <v>0</v>
      </c>
      <c r="R19" s="12">
        <f>'Πρώτος Γύρος'!Q42</f>
        <v>0</v>
      </c>
      <c r="S19" s="12">
        <f>'Πρώτος Γύρος'!R42</f>
        <v>0</v>
      </c>
      <c r="T19" s="12">
        <f>'Πρώτος Γύρος'!S42</f>
        <v>0</v>
      </c>
    </row>
    <row r="20" spans="2:20" ht="13.5" thickBot="1" x14ac:dyDescent="0.25">
      <c r="B20" s="76">
        <v>41812</v>
      </c>
      <c r="C20" s="82">
        <v>4.1666666666666664E-2</v>
      </c>
      <c r="D20" s="83" t="str">
        <f>Ώρες!I21</f>
        <v>Κουιάμπα</v>
      </c>
      <c r="E20" s="77" t="str">
        <f t="shared" ca="1" si="0"/>
        <v>Proximamente..</v>
      </c>
      <c r="F20" s="84" t="str">
        <f>Ομάδες!$G$10</f>
        <v>Νιγηρία</v>
      </c>
      <c r="G20" s="13"/>
      <c r="H20" s="87" t="str">
        <f>Ομάδες!$G$8</f>
        <v>Βοσνία-Ερζεγοβίνη</v>
      </c>
      <c r="I20" s="14"/>
      <c r="L20" s="15" t="str">
        <f>'Πρώτος Γύρος'!K43</f>
        <v>Νιγηρία</v>
      </c>
      <c r="M20" s="15">
        <f>'Πρώτος Γύρος'!L43</f>
        <v>0</v>
      </c>
      <c r="N20" s="15">
        <f>'Πρώτος Γύρος'!M43</f>
        <v>0</v>
      </c>
      <c r="O20" s="15">
        <f>'Πρώτος Γύρος'!N43</f>
        <v>0</v>
      </c>
      <c r="P20" s="15">
        <f>'Πρώτος Γύρος'!O43</f>
        <v>0</v>
      </c>
      <c r="Q20" s="15">
        <f>'Πρώτος Γύρος'!P43</f>
        <v>0</v>
      </c>
      <c r="R20" s="15">
        <f>'Πρώτος Γύρος'!Q43</f>
        <v>0</v>
      </c>
      <c r="S20" s="15">
        <f>'Πρώτος Γύρος'!R43</f>
        <v>0</v>
      </c>
      <c r="T20" s="15">
        <f>'Πρώτος Γύρος'!S43</f>
        <v>0</v>
      </c>
    </row>
    <row r="21" spans="2:20" ht="13.5" thickTop="1" x14ac:dyDescent="0.2">
      <c r="B21" s="85">
        <v>41815</v>
      </c>
      <c r="C21" s="72">
        <v>0.79166666666666663</v>
      </c>
      <c r="D21" s="73" t="str">
        <f>Ώρες!I23</f>
        <v>Πόρτο Αλέγκρε</v>
      </c>
      <c r="E21" s="74" t="str">
        <f t="shared" ca="1" si="0"/>
        <v>Proximamente..</v>
      </c>
      <c r="F21" s="75" t="str">
        <f>Ομάδες!$G$10</f>
        <v>Νιγηρία</v>
      </c>
      <c r="G21" s="13"/>
      <c r="H21" s="86" t="str">
        <f>Ομάδες!$G$7</f>
        <v>Αργεντινή</v>
      </c>
      <c r="I21" s="14"/>
    </row>
    <row r="22" spans="2:20" ht="13.5" thickBot="1" x14ac:dyDescent="0.25">
      <c r="B22" s="76">
        <v>41815</v>
      </c>
      <c r="C22" s="82">
        <v>0.79166666666666663</v>
      </c>
      <c r="D22" s="83" t="str">
        <f>Ώρες!I20</f>
        <v>Σαλβαδόρ</v>
      </c>
      <c r="E22" s="77" t="str">
        <f t="shared" ca="1" si="0"/>
        <v>Proximamente..</v>
      </c>
      <c r="F22" s="84" t="str">
        <f>Ομάδες!$G$8</f>
        <v>Βοσνία-Ερζεγοβίνη</v>
      </c>
      <c r="G22" s="16"/>
      <c r="H22" s="87" t="str">
        <f>Ομάδες!$G$9</f>
        <v>Ιράν</v>
      </c>
      <c r="I22" s="17"/>
      <c r="Q22" s="58">
        <f ca="1">TIME(Q23,Q24,0)</f>
        <v>0.76944444444444438</v>
      </c>
    </row>
    <row r="23" spans="2:20" ht="13.5" thickTop="1" x14ac:dyDescent="0.2">
      <c r="Q23" s="59">
        <f ca="1">HOUR(C2)</f>
        <v>18</v>
      </c>
    </row>
    <row r="24" spans="2:20" ht="13.5" thickBot="1" x14ac:dyDescent="0.25">
      <c r="Q24" s="59">
        <f ca="1">MINUTE(C2)</f>
        <v>28</v>
      </c>
    </row>
    <row r="25" spans="2:20" x14ac:dyDescent="0.2">
      <c r="L25" s="100" t="s">
        <v>139</v>
      </c>
      <c r="M25" s="100"/>
      <c r="N25" s="100"/>
      <c r="O25" s="100"/>
    </row>
    <row r="26" spans="2:20" x14ac:dyDescent="0.2">
      <c r="L26" s="101" t="str">
        <f>IF(T17=3,L17,"1F")</f>
        <v>1F</v>
      </c>
      <c r="M26" s="101"/>
      <c r="N26" s="101"/>
      <c r="O26" s="101"/>
    </row>
    <row r="27" spans="2:20" ht="13.5" thickBot="1" x14ac:dyDescent="0.25">
      <c r="L27" s="102" t="str">
        <f>IF(T18=3,L18,"2F")</f>
        <v>2F</v>
      </c>
      <c r="M27" s="102"/>
      <c r="N27" s="102"/>
      <c r="O27" s="102"/>
    </row>
    <row r="29" spans="2:20" x14ac:dyDescent="0.2">
      <c r="L29" s="89"/>
    </row>
    <row r="32" spans="2:20" x14ac:dyDescent="0.2">
      <c r="L32" s="88"/>
    </row>
    <row r="33" spans="12:12" x14ac:dyDescent="0.2">
      <c r="L33" s="88"/>
    </row>
    <row r="34" spans="12:12" x14ac:dyDescent="0.2">
      <c r="L34" s="88"/>
    </row>
  </sheetData>
  <customSheetViews>
    <customSheetView guid="{95E402C5-2143-4FCF-AAA0-B9B99670355B}" hiddenColumns="1" topLeftCell="A28">
      <selection activeCell="C12" sqref="C12:F14"/>
      <pageMargins left="0.74791666666666667" right="0.74791666666666667" top="0.98402777777777772" bottom="0.98402777777777772" header="0.51180555555555551" footer="0.51180555555555551"/>
      <pageSetup paperSize="9" firstPageNumber="0" orientation="portrait" horizontalDpi="300" verticalDpi="300"/>
      <headerFooter alignWithMargins="0"/>
    </customSheetView>
  </customSheetViews>
  <mergeCells count="5">
    <mergeCell ref="F16:I16"/>
    <mergeCell ref="L25:O25"/>
    <mergeCell ref="L26:O26"/>
    <mergeCell ref="L27:O27"/>
    <mergeCell ref="C12:F14"/>
  </mergeCells>
  <conditionalFormatting sqref="E17:E22">
    <cfRule type="cellIs" dxfId="18" priority="1" stopIfTrue="1" operator="equal">
      <formula>"HOY!"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ignoredErrors>
    <ignoredError sqref="F18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T34"/>
  <sheetViews>
    <sheetView workbookViewId="0">
      <selection activeCell="C12" sqref="C12:F14"/>
    </sheetView>
  </sheetViews>
  <sheetFormatPr defaultColWidth="11.42578125" defaultRowHeight="12.75" x14ac:dyDescent="0.2"/>
  <cols>
    <col min="1" max="1" width="5.5703125" style="1" customWidth="1"/>
    <col min="2" max="2" width="12.140625" style="1" bestFit="1" customWidth="1"/>
    <col min="3" max="3" width="12.42578125" style="1" bestFit="1" customWidth="1"/>
    <col min="4" max="4" width="33.28515625" style="1" customWidth="1"/>
    <col min="5" max="5" width="15.28515625" style="1" hidden="1" customWidth="1"/>
    <col min="6" max="6" width="16.140625" style="1" customWidth="1"/>
    <col min="7" max="7" width="3.7109375" style="1" customWidth="1"/>
    <col min="8" max="8" width="16.140625" style="1" customWidth="1"/>
    <col min="9" max="9" width="3.7109375" style="1" customWidth="1"/>
    <col min="10" max="11" width="4.5703125" style="1" customWidth="1"/>
    <col min="12" max="12" width="14.7109375" style="1" customWidth="1"/>
    <col min="13" max="19" width="4.28515625" style="1" customWidth="1"/>
    <col min="20" max="20" width="3.28515625" style="1" customWidth="1"/>
    <col min="21" max="16384" width="11.42578125" style="1"/>
  </cols>
  <sheetData>
    <row r="1" spans="2:20" ht="23.25" x14ac:dyDescent="0.35">
      <c r="B1" s="2" t="s">
        <v>130</v>
      </c>
      <c r="C1" s="57" t="s">
        <v>131</v>
      </c>
      <c r="D1" s="3"/>
      <c r="E1" s="4"/>
    </row>
    <row r="2" spans="2:20" x14ac:dyDescent="0.2">
      <c r="B2" s="33">
        <f ca="1">TODAY()</f>
        <v>41720</v>
      </c>
      <c r="C2" s="96">
        <f ca="1">NOW()</f>
        <v>41720.769673263887</v>
      </c>
    </row>
    <row r="3" spans="2:20" x14ac:dyDescent="0.2">
      <c r="C3" s="5"/>
      <c r="D3" s="6"/>
      <c r="E3" s="5"/>
    </row>
    <row r="12" spans="2:20" ht="12.75" customHeight="1" x14ac:dyDescent="0.2">
      <c r="C12" s="103" t="s">
        <v>152</v>
      </c>
      <c r="D12" s="103"/>
      <c r="E12" s="103"/>
      <c r="F12" s="103"/>
    </row>
    <row r="13" spans="2:20" ht="13.5" customHeight="1" x14ac:dyDescent="0.2">
      <c r="C13" s="103"/>
      <c r="D13" s="103"/>
      <c r="E13" s="103"/>
      <c r="F13" s="103"/>
    </row>
    <row r="14" spans="2:20" ht="12.75" customHeight="1" x14ac:dyDescent="0.2">
      <c r="C14" s="103"/>
      <c r="D14" s="103"/>
      <c r="E14" s="103"/>
      <c r="F14" s="103"/>
    </row>
    <row r="15" spans="2:20" ht="13.5" thickBot="1" x14ac:dyDescent="0.25"/>
    <row r="16" spans="2:20" ht="14.25" thickTop="1" thickBot="1" x14ac:dyDescent="0.25">
      <c r="B16" s="68" t="s">
        <v>134</v>
      </c>
      <c r="C16" s="69" t="s">
        <v>135</v>
      </c>
      <c r="D16" s="70" t="s">
        <v>137</v>
      </c>
      <c r="E16" s="70" t="s">
        <v>136</v>
      </c>
      <c r="F16" s="99" t="s">
        <v>138</v>
      </c>
      <c r="G16" s="99"/>
      <c r="H16" s="99"/>
      <c r="I16" s="99"/>
      <c r="L16" s="7" t="str">
        <f>'Πρώτος Γύρος'!K46</f>
        <v>Ομάδα</v>
      </c>
      <c r="M16" s="8" t="str">
        <f>'Πρώτος Γύρος'!L46</f>
        <v>Ν</v>
      </c>
      <c r="N16" s="8" t="str">
        <f>'Πρώτος Γύρος'!M46</f>
        <v>Ι</v>
      </c>
      <c r="O16" s="8" t="str">
        <f>'Πρώτος Γύρος'!N46</f>
        <v>Η</v>
      </c>
      <c r="P16" s="8" t="str">
        <f>'Πρώτος Γύρος'!O46</f>
        <v>ΓΥ</v>
      </c>
      <c r="Q16" s="8" t="str">
        <f>'Πρώτος Γύρος'!P46</f>
        <v>ΓΚ</v>
      </c>
      <c r="R16" s="8" t="str">
        <f>'Πρώτος Γύρος'!Q46</f>
        <v>Δ</v>
      </c>
      <c r="S16" s="8" t="str">
        <f>'Πρώτος Γύρος'!R46</f>
        <v>ΒΑΘ.</v>
      </c>
      <c r="T16" s="8" t="str">
        <f>'Πρώτος Γύρος'!S46</f>
        <v>PJ</v>
      </c>
    </row>
    <row r="17" spans="2:20" ht="13.5" thickTop="1" x14ac:dyDescent="0.2">
      <c r="B17" s="71">
        <v>41806</v>
      </c>
      <c r="C17" s="72">
        <v>0.83333333333333337</v>
      </c>
      <c r="D17" s="73" t="str">
        <f>Ώρες!I20</f>
        <v>Σαλβαδόρ</v>
      </c>
      <c r="E17" s="74" t="str">
        <f ca="1">IF(OR(B17="",C17="",B17&lt;$B$2),"Finalizado",IF(B17=$B$2,IF(AND(C17&lt;=$Q$22,$Q$22&lt;=(C17+0.08333333333)),"En juego",IF($Q$22&lt;C17,"HOY!","Finalizado")),IF($B$2&gt;B17,"Finalizado","Proximamente..")))</f>
        <v>Proximamente..</v>
      </c>
      <c r="F17" s="75" t="str">
        <f>Ομάδες!$G$12</f>
        <v>Γερμανία</v>
      </c>
      <c r="G17" s="10"/>
      <c r="H17" s="86" t="str">
        <f>Ομάδες!$G$13</f>
        <v>Πορτογαλία</v>
      </c>
      <c r="I17" s="11"/>
      <c r="L17" s="12" t="str">
        <f>'Πρώτος Γύρος'!K47</f>
        <v>Γερμανία</v>
      </c>
      <c r="M17" s="12">
        <f>'Πρώτος Γύρος'!L47</f>
        <v>0</v>
      </c>
      <c r="N17" s="12">
        <f>'Πρώτος Γύρος'!M47</f>
        <v>0</v>
      </c>
      <c r="O17" s="12">
        <f>'Πρώτος Γύρος'!N47</f>
        <v>0</v>
      </c>
      <c r="P17" s="12">
        <f>'Πρώτος Γύρος'!O47</f>
        <v>0</v>
      </c>
      <c r="Q17" s="12">
        <f>'Πρώτος Γύρος'!P47</f>
        <v>0</v>
      </c>
      <c r="R17" s="12">
        <f>'Πρώτος Γύρος'!Q47</f>
        <v>0</v>
      </c>
      <c r="S17" s="12">
        <f>'Πρώτος Γύρος'!R47</f>
        <v>0</v>
      </c>
      <c r="T17" s="12">
        <f>'Πρώτος Γύρος'!S47</f>
        <v>0</v>
      </c>
    </row>
    <row r="18" spans="2:20" ht="13.5" thickBot="1" x14ac:dyDescent="0.25">
      <c r="B18" s="76">
        <v>41807</v>
      </c>
      <c r="C18" s="72">
        <v>4.1666666666666664E-2</v>
      </c>
      <c r="D18" s="73" t="str">
        <f>Ώρες!I15</f>
        <v>Νατάλ</v>
      </c>
      <c r="E18" s="77" t="str">
        <f t="shared" ref="E18:E22" ca="1" si="0">IF(OR(B18="",C18="",B18&lt;$B$2),"Finalizado",IF(B18=$B$2,IF(AND(C18&lt;=$Q$22,$Q$22&lt;=(C18+0.08333333333)),"En juego",IF($Q$22&lt;C18,"HOY!","Finalizado")),IF($B$2&gt;B18,"Finalizado","Proximamente..")))</f>
        <v>Proximamente..</v>
      </c>
      <c r="F18" s="75" t="str">
        <f>Ομάδες!$G$14</f>
        <v>Γκάνα</v>
      </c>
      <c r="G18" s="13"/>
      <c r="H18" s="87" t="str">
        <f>Ομάδες!$G$15</f>
        <v>ΗΠΑ</v>
      </c>
      <c r="I18" s="14"/>
      <c r="L18" s="12" t="str">
        <f>'Πρώτος Γύρος'!K48</f>
        <v>Πορτογαλία</v>
      </c>
      <c r="M18" s="12">
        <f>'Πρώτος Γύρος'!L48</f>
        <v>0</v>
      </c>
      <c r="N18" s="12">
        <f>'Πρώτος Γύρος'!M48</f>
        <v>0</v>
      </c>
      <c r="O18" s="12">
        <f>'Πρώτος Γύρος'!N48</f>
        <v>0</v>
      </c>
      <c r="P18" s="12">
        <f>'Πρώτος Γύρος'!O48</f>
        <v>0</v>
      </c>
      <c r="Q18" s="12">
        <f>'Πρώτος Γύρος'!P48</f>
        <v>0</v>
      </c>
      <c r="R18" s="12">
        <f>'Πρώτος Γύρος'!Q48</f>
        <v>0</v>
      </c>
      <c r="S18" s="12">
        <f>'Πρώτος Γύρος'!R48</f>
        <v>0</v>
      </c>
      <c r="T18" s="12">
        <f>'Πρώτος Γύρος'!S48</f>
        <v>0</v>
      </c>
    </row>
    <row r="19" spans="2:20" ht="13.5" thickTop="1" x14ac:dyDescent="0.2">
      <c r="B19" s="78">
        <v>41811</v>
      </c>
      <c r="C19" s="79">
        <v>0.91666666666666663</v>
      </c>
      <c r="D19" s="80" t="str">
        <f>Ώρες!I16</f>
        <v>Φορταλέζα</v>
      </c>
      <c r="E19" s="74" t="str">
        <f t="shared" ca="1" si="0"/>
        <v>Proximamente..</v>
      </c>
      <c r="F19" s="81" t="str">
        <f>Ομάδες!$G$12</f>
        <v>Γερμανία</v>
      </c>
      <c r="G19" s="13"/>
      <c r="H19" s="86" t="str">
        <f>Ομάδες!$G$14</f>
        <v>Γκάνα</v>
      </c>
      <c r="I19" s="14"/>
      <c r="L19" s="12" t="str">
        <f>'Πρώτος Γύρος'!K49</f>
        <v>Γκάνα</v>
      </c>
      <c r="M19" s="12">
        <f>'Πρώτος Γύρος'!L49</f>
        <v>0</v>
      </c>
      <c r="N19" s="12">
        <f>'Πρώτος Γύρος'!M49</f>
        <v>0</v>
      </c>
      <c r="O19" s="12">
        <f>'Πρώτος Γύρος'!N49</f>
        <v>0</v>
      </c>
      <c r="P19" s="12">
        <f>'Πρώτος Γύρος'!O49</f>
        <v>0</v>
      </c>
      <c r="Q19" s="12">
        <f>'Πρώτος Γύρος'!P49</f>
        <v>0</v>
      </c>
      <c r="R19" s="12">
        <f>'Πρώτος Γύρος'!Q49</f>
        <v>0</v>
      </c>
      <c r="S19" s="12">
        <f>'Πρώτος Γύρος'!R49</f>
        <v>0</v>
      </c>
      <c r="T19" s="12">
        <f>'Πρώτος Γύρος'!S49</f>
        <v>0</v>
      </c>
    </row>
    <row r="20" spans="2:20" ht="13.5" thickBot="1" x14ac:dyDescent="0.25">
      <c r="B20" s="76">
        <v>41813</v>
      </c>
      <c r="C20" s="82">
        <v>4.1666666666666664E-2</v>
      </c>
      <c r="D20" s="83" t="str">
        <f>Ώρες!I17</f>
        <v>Μανάους</v>
      </c>
      <c r="E20" s="77" t="str">
        <f t="shared" ca="1" si="0"/>
        <v>Proximamente..</v>
      </c>
      <c r="F20" s="84" t="str">
        <f>Ομάδες!$G$15</f>
        <v>ΗΠΑ</v>
      </c>
      <c r="G20" s="13"/>
      <c r="H20" s="87" t="str">
        <f>Ομάδες!$G$13</f>
        <v>Πορτογαλία</v>
      </c>
      <c r="I20" s="14"/>
      <c r="L20" s="15" t="str">
        <f>'Πρώτος Γύρος'!K50</f>
        <v>ΗΠΑ</v>
      </c>
      <c r="M20" s="15">
        <f>'Πρώτος Γύρος'!L50</f>
        <v>0</v>
      </c>
      <c r="N20" s="15">
        <f>'Πρώτος Γύρος'!M50</f>
        <v>0</v>
      </c>
      <c r="O20" s="15">
        <f>'Πρώτος Γύρος'!N50</f>
        <v>0</v>
      </c>
      <c r="P20" s="15">
        <f>'Πρώτος Γύρος'!O50</f>
        <v>0</v>
      </c>
      <c r="Q20" s="15">
        <f>'Πρώτος Γύρος'!P50</f>
        <v>0</v>
      </c>
      <c r="R20" s="15">
        <f>'Πρώτος Γύρος'!Q50</f>
        <v>0</v>
      </c>
      <c r="S20" s="15">
        <f>'Πρώτος Γύρος'!R50</f>
        <v>0</v>
      </c>
      <c r="T20" s="15">
        <f>'Πρώτος Γύρος'!S50</f>
        <v>0</v>
      </c>
    </row>
    <row r="21" spans="2:20" ht="13.5" thickTop="1" x14ac:dyDescent="0.2">
      <c r="B21" s="85">
        <v>41816</v>
      </c>
      <c r="C21" s="72">
        <v>0.79166666666666663</v>
      </c>
      <c r="D21" s="73" t="str">
        <f>Ώρες!I19</f>
        <v>Ρεσίφε</v>
      </c>
      <c r="E21" s="74" t="str">
        <f t="shared" ca="1" si="0"/>
        <v>Proximamente..</v>
      </c>
      <c r="F21" s="75" t="str">
        <f>Ομάδες!$G$15</f>
        <v>ΗΠΑ</v>
      </c>
      <c r="G21" s="13"/>
      <c r="H21" s="86" t="str">
        <f>Ομάδες!$G$12</f>
        <v>Γερμανία</v>
      </c>
      <c r="I21" s="14"/>
    </row>
    <row r="22" spans="2:20" ht="13.5" thickBot="1" x14ac:dyDescent="0.25">
      <c r="B22" s="76">
        <v>41816</v>
      </c>
      <c r="C22" s="82">
        <v>0.79166666666666663</v>
      </c>
      <c r="D22" s="83" t="str">
        <f>Ώρες!I18</f>
        <v>Μπραζίλια</v>
      </c>
      <c r="E22" s="77" t="str">
        <f t="shared" ca="1" si="0"/>
        <v>Proximamente..</v>
      </c>
      <c r="F22" s="84" t="str">
        <f>Ομάδες!$G$13</f>
        <v>Πορτογαλία</v>
      </c>
      <c r="G22" s="16"/>
      <c r="H22" s="87" t="str">
        <f>Ομάδες!$G$14</f>
        <v>Γκάνα</v>
      </c>
      <c r="I22" s="17"/>
      <c r="Q22" s="58">
        <f ca="1">TIME(Q23,Q24,0)</f>
        <v>0.76944444444444438</v>
      </c>
    </row>
    <row r="23" spans="2:20" ht="13.5" thickTop="1" x14ac:dyDescent="0.2">
      <c r="Q23" s="59">
        <f ca="1">HOUR(C2)</f>
        <v>18</v>
      </c>
    </row>
    <row r="24" spans="2:20" ht="13.5" thickBot="1" x14ac:dyDescent="0.25">
      <c r="Q24" s="59">
        <f ca="1">MINUTE(C2)</f>
        <v>28</v>
      </c>
    </row>
    <row r="25" spans="2:20" x14ac:dyDescent="0.2">
      <c r="L25" s="100" t="s">
        <v>139</v>
      </c>
      <c r="M25" s="100"/>
      <c r="N25" s="100"/>
      <c r="O25" s="100"/>
    </row>
    <row r="26" spans="2:20" x14ac:dyDescent="0.2">
      <c r="L26" s="101" t="str">
        <f>IF(T17=3,L17,"1G")</f>
        <v>1G</v>
      </c>
      <c r="M26" s="101"/>
      <c r="N26" s="101"/>
      <c r="O26" s="101"/>
    </row>
    <row r="27" spans="2:20" ht="13.5" thickBot="1" x14ac:dyDescent="0.25">
      <c r="L27" s="102" t="str">
        <f>IF(T18=3,L18,"2G")</f>
        <v>2G</v>
      </c>
      <c r="M27" s="102"/>
      <c r="N27" s="102"/>
      <c r="O27" s="102"/>
    </row>
    <row r="29" spans="2:20" x14ac:dyDescent="0.2">
      <c r="L29" s="89"/>
    </row>
    <row r="32" spans="2:20" x14ac:dyDescent="0.2">
      <c r="L32" s="88"/>
    </row>
    <row r="33" spans="12:12" x14ac:dyDescent="0.2">
      <c r="L33" s="88"/>
    </row>
    <row r="34" spans="12:12" x14ac:dyDescent="0.2">
      <c r="L34" s="88"/>
    </row>
  </sheetData>
  <customSheetViews>
    <customSheetView guid="{95E402C5-2143-4FCF-AAA0-B9B99670355B}" hiddenColumns="1">
      <selection activeCell="C12" sqref="C12:F14"/>
      <pageMargins left="0.74791666666666667" right="0.74791666666666667" top="0.98402777777777772" bottom="0.98402777777777772" header="0.51180555555555551" footer="0.51180555555555551"/>
      <pageSetup paperSize="9" firstPageNumber="0" orientation="portrait" horizontalDpi="300" verticalDpi="300"/>
      <headerFooter alignWithMargins="0"/>
    </customSheetView>
  </customSheetViews>
  <mergeCells count="5">
    <mergeCell ref="F16:I16"/>
    <mergeCell ref="L25:O25"/>
    <mergeCell ref="L26:O26"/>
    <mergeCell ref="L27:O27"/>
    <mergeCell ref="C12:F14"/>
  </mergeCells>
  <conditionalFormatting sqref="E17:E22">
    <cfRule type="cellIs" dxfId="17" priority="1" stopIfTrue="1" operator="equal">
      <formula>"HOY!"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ignoredErrors>
    <ignoredError sqref="H19 F18" 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T36"/>
  <sheetViews>
    <sheetView workbookViewId="0">
      <selection activeCell="C12" sqref="C12:F14"/>
    </sheetView>
  </sheetViews>
  <sheetFormatPr defaultColWidth="11.42578125" defaultRowHeight="12.75" x14ac:dyDescent="0.2"/>
  <cols>
    <col min="1" max="1" width="5.5703125" style="1" customWidth="1"/>
    <col min="2" max="2" width="12.140625" style="1" bestFit="1" customWidth="1"/>
    <col min="3" max="3" width="12.42578125" style="1" bestFit="1" customWidth="1"/>
    <col min="4" max="4" width="33.28515625" style="1" customWidth="1"/>
    <col min="5" max="5" width="15.28515625" style="1" hidden="1" customWidth="1"/>
    <col min="6" max="6" width="16.140625" style="1" customWidth="1"/>
    <col min="7" max="7" width="3.7109375" style="1" customWidth="1"/>
    <col min="8" max="8" width="16.140625" style="1" customWidth="1"/>
    <col min="9" max="9" width="3.7109375" style="1" customWidth="1"/>
    <col min="10" max="11" width="4.5703125" style="1" customWidth="1"/>
    <col min="12" max="12" width="14.7109375" style="1" customWidth="1"/>
    <col min="13" max="19" width="4.28515625" style="1" customWidth="1"/>
    <col min="20" max="20" width="3.28515625" style="1" customWidth="1"/>
    <col min="21" max="16384" width="11.42578125" style="1"/>
  </cols>
  <sheetData>
    <row r="1" spans="2:20" ht="23.25" x14ac:dyDescent="0.35">
      <c r="B1" s="2" t="s">
        <v>130</v>
      </c>
      <c r="C1" s="57" t="s">
        <v>131</v>
      </c>
      <c r="D1" s="3"/>
      <c r="E1" s="4"/>
    </row>
    <row r="2" spans="2:20" x14ac:dyDescent="0.2">
      <c r="B2" s="33">
        <f ca="1">TODAY()</f>
        <v>41720</v>
      </c>
      <c r="C2" s="96">
        <f ca="1">NOW()</f>
        <v>41720.769673263887</v>
      </c>
    </row>
    <row r="3" spans="2:20" x14ac:dyDescent="0.2">
      <c r="C3" s="5"/>
      <c r="D3" s="6"/>
      <c r="E3" s="5"/>
    </row>
    <row r="12" spans="2:20" ht="12.75" customHeight="1" x14ac:dyDescent="0.2">
      <c r="C12" s="103" t="s">
        <v>151</v>
      </c>
      <c r="D12" s="103"/>
      <c r="E12" s="103"/>
      <c r="F12" s="103"/>
    </row>
    <row r="13" spans="2:20" ht="13.5" customHeight="1" x14ac:dyDescent="0.2">
      <c r="C13" s="103"/>
      <c r="D13" s="103"/>
      <c r="E13" s="103"/>
      <c r="F13" s="103"/>
    </row>
    <row r="14" spans="2:20" ht="12.75" customHeight="1" x14ac:dyDescent="0.2">
      <c r="C14" s="103"/>
      <c r="D14" s="103"/>
      <c r="E14" s="103"/>
      <c r="F14" s="103"/>
    </row>
    <row r="15" spans="2:20" ht="13.5" thickBot="1" x14ac:dyDescent="0.25"/>
    <row r="16" spans="2:20" ht="14.25" thickTop="1" thickBot="1" x14ac:dyDescent="0.25">
      <c r="B16" s="68" t="s">
        <v>134</v>
      </c>
      <c r="C16" s="69" t="s">
        <v>135</v>
      </c>
      <c r="D16" s="70" t="s">
        <v>137</v>
      </c>
      <c r="E16" s="70" t="s">
        <v>136</v>
      </c>
      <c r="F16" s="99" t="s">
        <v>138</v>
      </c>
      <c r="G16" s="99"/>
      <c r="H16" s="99"/>
      <c r="I16" s="99"/>
      <c r="L16" s="7" t="str">
        <f>'Πρώτος Γύρος'!K53</f>
        <v>Ομάδα</v>
      </c>
      <c r="M16" s="8" t="str">
        <f>'Πρώτος Γύρος'!L53</f>
        <v>Ν</v>
      </c>
      <c r="N16" s="8" t="str">
        <f>'Πρώτος Γύρος'!M53</f>
        <v>Ι</v>
      </c>
      <c r="O16" s="8" t="str">
        <f>'Πρώτος Γύρος'!N53</f>
        <v>Η</v>
      </c>
      <c r="P16" s="8" t="str">
        <f>'Πρώτος Γύρος'!O53</f>
        <v>ΓΥ</v>
      </c>
      <c r="Q16" s="8" t="str">
        <f>'Πρώτος Γύρος'!P53</f>
        <v>ΓΚ</v>
      </c>
      <c r="R16" s="8" t="str">
        <f>'Πρώτος Γύρος'!Q53</f>
        <v>Δ</v>
      </c>
      <c r="S16" s="8" t="str">
        <f>'Πρώτος Γύρος'!R53</f>
        <v>ΒΑΘ.</v>
      </c>
      <c r="T16" s="8" t="str">
        <f>'Πρώτος Γύρος'!S53</f>
        <v>PJ</v>
      </c>
    </row>
    <row r="17" spans="2:20" ht="13.5" thickTop="1" x14ac:dyDescent="0.2">
      <c r="B17" s="71">
        <v>41807</v>
      </c>
      <c r="C17" s="72">
        <v>0.79166666666666663</v>
      </c>
      <c r="D17" s="73" t="str">
        <f>Ώρες!I25</f>
        <v>Μπέλο Οριζόντε</v>
      </c>
      <c r="E17" s="74" t="str">
        <f ca="1">IF(OR(B17="",C17="",B17&lt;$B$2),"Finalizado",IF(B17=$B$2,IF(AND(C17&lt;=$Q$22,$Q$22&lt;=(C17+0.08333333333)),"En juego",IF($Q$22&lt;C17,"HOY!","Finalizado")),IF($B$2&gt;B17,"Finalizado","Proximamente..")))</f>
        <v>Proximamente..</v>
      </c>
      <c r="F17" s="75" t="str">
        <f>Ομάδες!$G$17</f>
        <v>Βέλγιο</v>
      </c>
      <c r="G17" s="10"/>
      <c r="H17" s="86" t="str">
        <f>Ομάδες!$G$18</f>
        <v>Αλγερία</v>
      </c>
      <c r="I17" s="11"/>
      <c r="L17" s="12" t="str">
        <f>'Πρώτος Γύρος'!K54</f>
        <v>Βέλγιο</v>
      </c>
      <c r="M17" s="12">
        <f>'Πρώτος Γύρος'!L54</f>
        <v>0</v>
      </c>
      <c r="N17" s="12">
        <f>'Πρώτος Γύρος'!M54</f>
        <v>0</v>
      </c>
      <c r="O17" s="12">
        <f>'Πρώτος Γύρος'!N54</f>
        <v>0</v>
      </c>
      <c r="P17" s="12">
        <f>'Πρώτος Γύρος'!O54</f>
        <v>0</v>
      </c>
      <c r="Q17" s="12">
        <f>'Πρώτος Γύρος'!P54</f>
        <v>0</v>
      </c>
      <c r="R17" s="12">
        <f>'Πρώτος Γύρος'!Q54</f>
        <v>0</v>
      </c>
      <c r="S17" s="12">
        <f>'Πρώτος Γύρος'!R54</f>
        <v>0</v>
      </c>
      <c r="T17" s="12">
        <f>'Πρώτος Γύρος'!S54</f>
        <v>0</v>
      </c>
    </row>
    <row r="18" spans="2:20" ht="13.5" thickBot="1" x14ac:dyDescent="0.25">
      <c r="B18" s="76">
        <v>41808</v>
      </c>
      <c r="C18" s="72">
        <v>4.1666666666666664E-2</v>
      </c>
      <c r="D18" s="73" t="str">
        <f>Ώρες!I21</f>
        <v>Κουιάμπα</v>
      </c>
      <c r="E18" s="77" t="str">
        <f t="shared" ref="E18:E22" ca="1" si="0">IF(OR(B18="",C18="",B18&lt;$B$2),"Finalizado",IF(B18=$B$2,IF(AND(C18&lt;=$Q$22,$Q$22&lt;=(C18+0.08333333333)),"En juego",IF($Q$22&lt;C18,"HOY!","Finalizado")),IF($B$2&gt;B18,"Finalizado","Proximamente..")))</f>
        <v>Proximamente..</v>
      </c>
      <c r="F18" s="75" t="str">
        <f>Ομάδες!$G$19</f>
        <v>Ρωσία</v>
      </c>
      <c r="G18" s="13"/>
      <c r="H18" s="87" t="str">
        <f>Ομάδες!$G$20</f>
        <v>Νότια Κορέα</v>
      </c>
      <c r="I18" s="14"/>
      <c r="L18" s="12" t="str">
        <f>'Πρώτος Γύρος'!K55</f>
        <v>Αλγερία</v>
      </c>
      <c r="M18" s="12">
        <f>'Πρώτος Γύρος'!L55</f>
        <v>0</v>
      </c>
      <c r="N18" s="12">
        <f>'Πρώτος Γύρος'!M55</f>
        <v>0</v>
      </c>
      <c r="O18" s="12">
        <f>'Πρώτος Γύρος'!N55</f>
        <v>0</v>
      </c>
      <c r="P18" s="12">
        <f>'Πρώτος Γύρος'!O55</f>
        <v>0</v>
      </c>
      <c r="Q18" s="12">
        <f>'Πρώτος Γύρος'!P55</f>
        <v>0</v>
      </c>
      <c r="R18" s="12">
        <f>'Πρώτος Γύρος'!Q55</f>
        <v>0</v>
      </c>
      <c r="S18" s="12">
        <f>'Πρώτος Γύρος'!R55</f>
        <v>0</v>
      </c>
      <c r="T18" s="12">
        <f>'Πρώτος Γύρος'!S55</f>
        <v>0</v>
      </c>
    </row>
    <row r="19" spans="2:20" ht="13.5" thickTop="1" x14ac:dyDescent="0.2">
      <c r="B19" s="78">
        <v>41812</v>
      </c>
      <c r="C19" s="79">
        <v>0.79166666666666663</v>
      </c>
      <c r="D19" s="80" t="str">
        <f>Ώρες!I22</f>
        <v>Ρίο Ντε Τζανέιρο</v>
      </c>
      <c r="E19" s="74" t="str">
        <f t="shared" ca="1" si="0"/>
        <v>Proximamente..</v>
      </c>
      <c r="F19" s="81" t="str">
        <f>Ομάδες!$G$17</f>
        <v>Βέλγιο</v>
      </c>
      <c r="G19" s="13"/>
      <c r="H19" s="86" t="str">
        <f>Ομάδες!$G$19</f>
        <v>Ρωσία</v>
      </c>
      <c r="I19" s="14"/>
      <c r="L19" s="12" t="str">
        <f>'Πρώτος Γύρος'!K56</f>
        <v>Ρωσία</v>
      </c>
      <c r="M19" s="12">
        <f>'Πρώτος Γύρος'!L56</f>
        <v>0</v>
      </c>
      <c r="N19" s="12">
        <f>'Πρώτος Γύρος'!M56</f>
        <v>0</v>
      </c>
      <c r="O19" s="12">
        <f>'Πρώτος Γύρος'!N56</f>
        <v>0</v>
      </c>
      <c r="P19" s="12">
        <f>'Πρώτος Γύρος'!O56</f>
        <v>0</v>
      </c>
      <c r="Q19" s="12">
        <f>'Πρώτος Γύρος'!P56</f>
        <v>0</v>
      </c>
      <c r="R19" s="12">
        <f>'Πρώτος Γύρος'!Q56</f>
        <v>0</v>
      </c>
      <c r="S19" s="12">
        <f>'Πρώτος Γύρος'!R56</f>
        <v>0</v>
      </c>
      <c r="T19" s="12">
        <f>'Πρώτος Γύρος'!S56</f>
        <v>0</v>
      </c>
    </row>
    <row r="20" spans="2:20" ht="13.5" thickBot="1" x14ac:dyDescent="0.25">
      <c r="B20" s="76">
        <v>41812</v>
      </c>
      <c r="C20" s="82">
        <v>0.91666666666666663</v>
      </c>
      <c r="D20" s="83" t="str">
        <f>Ώρες!I23</f>
        <v>Πόρτο Αλέγκρε</v>
      </c>
      <c r="E20" s="77" t="str">
        <f t="shared" ca="1" si="0"/>
        <v>Proximamente..</v>
      </c>
      <c r="F20" s="84" t="str">
        <f>Ομάδες!$G$20</f>
        <v>Νότια Κορέα</v>
      </c>
      <c r="G20" s="13"/>
      <c r="H20" s="87" t="str">
        <f>Ομάδες!$G$18</f>
        <v>Αλγερία</v>
      </c>
      <c r="I20" s="14"/>
      <c r="L20" s="15" t="str">
        <f>'Πρώτος Γύρος'!K57</f>
        <v>Νότια Κορέα</v>
      </c>
      <c r="M20" s="15">
        <f>'Πρώτος Γύρος'!L57</f>
        <v>0</v>
      </c>
      <c r="N20" s="15">
        <f>'Πρώτος Γύρος'!M57</f>
        <v>0</v>
      </c>
      <c r="O20" s="15">
        <f>'Πρώτος Γύρος'!N57</f>
        <v>0</v>
      </c>
      <c r="P20" s="15">
        <f>'Πρώτος Γύρος'!O57</f>
        <v>0</v>
      </c>
      <c r="Q20" s="15">
        <f>'Πρώτος Γύρος'!P57</f>
        <v>0</v>
      </c>
      <c r="R20" s="15">
        <f>'Πρώτος Γύρος'!Q57</f>
        <v>0</v>
      </c>
      <c r="S20" s="15">
        <f>'Πρώτος Γύρος'!R57</f>
        <v>0</v>
      </c>
      <c r="T20" s="15">
        <f>'Πρώτος Γύρος'!S57</f>
        <v>0</v>
      </c>
    </row>
    <row r="21" spans="2:20" ht="13.5" thickTop="1" x14ac:dyDescent="0.2">
      <c r="B21" s="85">
        <v>41816</v>
      </c>
      <c r="C21" s="72">
        <v>0.95833333333333337</v>
      </c>
      <c r="D21" s="73" t="str">
        <f>Ώρες!I14</f>
        <v>Σάο Πάολο</v>
      </c>
      <c r="E21" s="74" t="str">
        <f t="shared" ca="1" si="0"/>
        <v>Proximamente..</v>
      </c>
      <c r="F21" s="75" t="str">
        <f>Ομάδες!$G$20</f>
        <v>Νότια Κορέα</v>
      </c>
      <c r="G21" s="13"/>
      <c r="H21" s="86" t="str">
        <f>Ομάδες!$G$17</f>
        <v>Βέλγιο</v>
      </c>
      <c r="I21" s="14"/>
    </row>
    <row r="22" spans="2:20" ht="13.5" thickBot="1" x14ac:dyDescent="0.25">
      <c r="B22" s="76">
        <v>41816</v>
      </c>
      <c r="C22" s="82">
        <v>0.95833333333333337</v>
      </c>
      <c r="D22" s="83" t="str">
        <f>Ώρες!I24</f>
        <v>Κουριτίμπα</v>
      </c>
      <c r="E22" s="77" t="str">
        <f t="shared" ca="1" si="0"/>
        <v>Proximamente..</v>
      </c>
      <c r="F22" s="84" t="str">
        <f>Ομάδες!$G$18</f>
        <v>Αλγερία</v>
      </c>
      <c r="G22" s="16"/>
      <c r="H22" s="87" t="str">
        <f>Ομάδες!$G$19</f>
        <v>Ρωσία</v>
      </c>
      <c r="I22" s="17"/>
      <c r="Q22" s="58">
        <f ca="1">TIME(Q23,Q24,0)</f>
        <v>0.76944444444444438</v>
      </c>
    </row>
    <row r="23" spans="2:20" ht="13.5" thickTop="1" x14ac:dyDescent="0.2">
      <c r="Q23" s="59">
        <f ca="1">HOUR(C2)</f>
        <v>18</v>
      </c>
    </row>
    <row r="24" spans="2:20" ht="13.5" thickBot="1" x14ac:dyDescent="0.25">
      <c r="Q24" s="59">
        <f ca="1">MINUTE(C2)</f>
        <v>28</v>
      </c>
    </row>
    <row r="25" spans="2:20" x14ac:dyDescent="0.2">
      <c r="L25" s="100" t="s">
        <v>139</v>
      </c>
      <c r="M25" s="100"/>
      <c r="N25" s="100"/>
      <c r="O25" s="100"/>
    </row>
    <row r="26" spans="2:20" x14ac:dyDescent="0.2">
      <c r="L26" s="101" t="str">
        <f>IF(T17=3,L17,"1H")</f>
        <v>1H</v>
      </c>
      <c r="M26" s="101"/>
      <c r="N26" s="101"/>
      <c r="O26" s="101"/>
    </row>
    <row r="27" spans="2:20" ht="13.5" thickBot="1" x14ac:dyDescent="0.25">
      <c r="L27" s="102" t="str">
        <f>IF(T18=3,L18,"2H")</f>
        <v>2H</v>
      </c>
      <c r="M27" s="102"/>
      <c r="N27" s="102"/>
      <c r="O27" s="102"/>
    </row>
    <row r="28" spans="2:20" x14ac:dyDescent="0.2">
      <c r="C28"/>
    </row>
    <row r="29" spans="2:20" x14ac:dyDescent="0.2">
      <c r="L29" s="89"/>
    </row>
    <row r="32" spans="2:20" x14ac:dyDescent="0.2">
      <c r="L32" s="88"/>
    </row>
    <row r="33" spans="4:12" x14ac:dyDescent="0.2">
      <c r="L33" s="88"/>
    </row>
    <row r="34" spans="4:12" x14ac:dyDescent="0.2">
      <c r="L34" s="88"/>
    </row>
    <row r="36" spans="4:12" x14ac:dyDescent="0.2">
      <c r="D36"/>
    </row>
  </sheetData>
  <customSheetViews>
    <customSheetView guid="{95E402C5-2143-4FCF-AAA0-B9B99670355B}" hiddenColumns="1" topLeftCell="A13">
      <selection activeCell="C12" sqref="C12:F14"/>
      <pageMargins left="0.74791666666666667" right="0.74791666666666667" top="0.98402777777777772" bottom="0.98402777777777772" header="0.51180555555555551" footer="0.51180555555555551"/>
      <pageSetup paperSize="9" firstPageNumber="0" orientation="portrait" horizontalDpi="300" verticalDpi="300" r:id="rId1"/>
      <headerFooter alignWithMargins="0"/>
    </customSheetView>
  </customSheetViews>
  <mergeCells count="5">
    <mergeCell ref="F16:I16"/>
    <mergeCell ref="L25:O25"/>
    <mergeCell ref="L26:O26"/>
    <mergeCell ref="L27:O27"/>
    <mergeCell ref="C12:F14"/>
  </mergeCells>
  <conditionalFormatting sqref="E17:E22">
    <cfRule type="cellIs" dxfId="16" priority="1" stopIfTrue="1" operator="equal">
      <formula>"HOY!"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2"/>
  <headerFooter alignWithMargins="0"/>
  <ignoredErrors>
    <ignoredError sqref="F18" formula="1"/>
  </ignoredError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U62"/>
  <sheetViews>
    <sheetView workbookViewId="0">
      <selection activeCell="C1" sqref="C1"/>
    </sheetView>
  </sheetViews>
  <sheetFormatPr defaultColWidth="11.42578125" defaultRowHeight="12.75" x14ac:dyDescent="0.2"/>
  <cols>
    <col min="1" max="1" width="11.42578125" style="18"/>
    <col min="2" max="2" width="10.5703125" style="18" customWidth="1"/>
    <col min="3" max="3" width="25.5703125" style="18" customWidth="1"/>
    <col min="4" max="4" width="19.42578125" style="18" customWidth="1"/>
    <col min="5" max="5" width="14.85546875" style="18" hidden="1" customWidth="1"/>
    <col min="6" max="6" width="16.85546875" style="18" customWidth="1"/>
    <col min="7" max="7" width="4.85546875" style="18" customWidth="1"/>
    <col min="8" max="8" width="18.140625" style="18" customWidth="1"/>
    <col min="9" max="9" width="5" style="18" customWidth="1"/>
    <col min="10" max="10" width="5.85546875" style="18" customWidth="1"/>
    <col min="11" max="11" width="17.5703125" style="18" bestFit="1" customWidth="1"/>
    <col min="12" max="12" width="3.140625" style="18" customWidth="1"/>
    <col min="13" max="13" width="3.7109375" style="18" customWidth="1"/>
    <col min="14" max="16" width="3.5703125" style="18" customWidth="1"/>
    <col min="17" max="17" width="3.7109375" style="18" customWidth="1"/>
    <col min="18" max="18" width="5.5703125" style="18" bestFit="1" customWidth="1"/>
    <col min="19" max="19" width="3.85546875" style="18" customWidth="1"/>
    <col min="20" max="20" width="11.42578125" style="18"/>
    <col min="21" max="21" width="18.42578125" style="18" customWidth="1"/>
    <col min="22" max="16384" width="11.42578125" style="18"/>
  </cols>
  <sheetData>
    <row r="1" spans="2:21" ht="20.25" x14ac:dyDescent="0.3">
      <c r="B1" s="19" t="s">
        <v>0</v>
      </c>
      <c r="C1" s="20">
        <f ca="1">NOW()</f>
        <v>41720.769673263887</v>
      </c>
    </row>
    <row r="2" spans="2:21" ht="13.5" thickBot="1" x14ac:dyDescent="0.25"/>
    <row r="3" spans="2:21" ht="14.25" thickTop="1" thickBot="1" x14ac:dyDescent="0.25">
      <c r="B3" s="68" t="str">
        <f>'Γκρουπ Α'!B16</f>
        <v>Ημερ</v>
      </c>
      <c r="C3" s="69" t="str">
        <f>'Γκρουπ Α'!C16</f>
        <v>Ώρα</v>
      </c>
      <c r="D3" s="70" t="str">
        <f>'Γκρουπ Α'!D16</f>
        <v>Πόλη</v>
      </c>
      <c r="E3" s="70" t="str">
        <f>'Γκρουπ Α'!E16</f>
        <v>Στάδιο</v>
      </c>
      <c r="F3" s="99" t="str">
        <f>'Γκρουπ Α'!F16</f>
        <v>Αγώνας</v>
      </c>
      <c r="G3" s="99">
        <f>'Γκρουπ Α'!G16</f>
        <v>0</v>
      </c>
      <c r="H3" s="99">
        <f>'Γκρουπ Α'!H16</f>
        <v>0</v>
      </c>
      <c r="I3" s="99">
        <f>'Γκρουπ Α'!I16</f>
        <v>0</v>
      </c>
    </row>
    <row r="4" spans="2:21" ht="14.25" thickTop="1" thickBot="1" x14ac:dyDescent="0.25">
      <c r="B4" s="71">
        <f>'Γκρουπ Α'!B17</f>
        <v>41802</v>
      </c>
      <c r="C4" s="72">
        <f>'Γκρουπ Α'!C17</f>
        <v>0.95833333333333359</v>
      </c>
      <c r="D4" s="73" t="str">
        <f>'Γκρουπ Α'!D17</f>
        <v>Σάο Πάολο</v>
      </c>
      <c r="E4" s="74" t="str">
        <f ca="1">'Γκρουπ Α'!E17</f>
        <v>Proximamente..</v>
      </c>
      <c r="F4" s="75" t="str">
        <f>'Γκρουπ Α'!F17</f>
        <v>Βραζιλία</v>
      </c>
      <c r="G4" s="90" t="str">
        <f>IF('Γκρουπ Α'!G17="","",'Γκρουπ Α'!G17)</f>
        <v/>
      </c>
      <c r="H4" s="86" t="str">
        <f>'Γκρουπ Α'!H17</f>
        <v>Κροατία</v>
      </c>
      <c r="I4" s="91" t="str">
        <f>IF('Γκρουπ Α'!I17="","",'Γκρουπ Α'!I17)</f>
        <v/>
      </c>
      <c r="J4" s="21"/>
      <c r="K4" s="92" t="str">
        <f>Φύλλο1!B6</f>
        <v>Ομάδα</v>
      </c>
      <c r="L4" s="93" t="str">
        <f>Φύλλο1!C6</f>
        <v>Ν</v>
      </c>
      <c r="M4" s="93" t="str">
        <f>Φύλλο1!D6</f>
        <v>Ι</v>
      </c>
      <c r="N4" s="93" t="str">
        <f>Φύλλο1!E6</f>
        <v>Η</v>
      </c>
      <c r="O4" s="93" t="str">
        <f>Φύλλο1!F6</f>
        <v>ΓΥ</v>
      </c>
      <c r="P4" s="93" t="str">
        <f>Φύλλο1!G6</f>
        <v>ΓΚ</v>
      </c>
      <c r="Q4" s="93" t="str">
        <f>Φύλλο1!H6</f>
        <v>Δ</v>
      </c>
      <c r="R4" s="93" t="str">
        <f>Φύλλο1!I6</f>
        <v>ΒΑΘ.</v>
      </c>
      <c r="S4" s="93" t="s">
        <v>2</v>
      </c>
      <c r="U4" s="18" t="s">
        <v>3</v>
      </c>
    </row>
    <row r="5" spans="2:21" ht="13.5" thickBot="1" x14ac:dyDescent="0.25">
      <c r="B5" s="76">
        <f>'Γκρουπ Α'!B18</f>
        <v>41803</v>
      </c>
      <c r="C5" s="72">
        <f>'Γκρουπ Α'!C18</f>
        <v>0.79166666666666663</v>
      </c>
      <c r="D5" s="73" t="str">
        <f>'Γκρουπ Α'!D18</f>
        <v>Νατάλ</v>
      </c>
      <c r="E5" s="77" t="str">
        <f ca="1">'Γκρουπ Α'!E18</f>
        <v>Proximamente..</v>
      </c>
      <c r="F5" s="75" t="str">
        <f>'Γκρουπ Α'!F18</f>
        <v>Μεξικό</v>
      </c>
      <c r="G5" s="90" t="str">
        <f>IF('Γκρουπ Α'!G18="","",'Γκρουπ Α'!G18)</f>
        <v/>
      </c>
      <c r="H5" s="87" t="str">
        <f>'Γκρουπ Α'!H18</f>
        <v>Καμερούν</v>
      </c>
      <c r="I5" s="91" t="str">
        <f>IF('Γκρουπ Α'!I18="","",'Γκρουπ Α'!I18)</f>
        <v/>
      </c>
      <c r="J5" s="21"/>
      <c r="K5" s="94" t="str">
        <f>Φύλλο1!B7</f>
        <v>Βραζιλία</v>
      </c>
      <c r="L5" s="94">
        <f>Φύλλο1!C7</f>
        <v>0</v>
      </c>
      <c r="M5" s="94">
        <f>Φύλλο1!D7</f>
        <v>0</v>
      </c>
      <c r="N5" s="94">
        <f>Φύλλο1!E7</f>
        <v>0</v>
      </c>
      <c r="O5" s="94">
        <f>Φύλλο1!F7</f>
        <v>0</v>
      </c>
      <c r="P5" s="94">
        <f>Φύλλο1!G7</f>
        <v>0</v>
      </c>
      <c r="Q5" s="94">
        <f>Φύλλο1!H7</f>
        <v>0</v>
      </c>
      <c r="R5" s="94">
        <f>Φύλλο1!I7</f>
        <v>0</v>
      </c>
      <c r="S5" s="94">
        <f>SUM(L5:N5)</f>
        <v>0</v>
      </c>
      <c r="U5" s="18" t="str">
        <f>K5</f>
        <v>Βραζιλία</v>
      </c>
    </row>
    <row r="6" spans="2:21" ht="13.5" thickTop="1" x14ac:dyDescent="0.2">
      <c r="B6" s="78">
        <f>'Γκρουπ Α'!B19</f>
        <v>41807</v>
      </c>
      <c r="C6" s="79">
        <f>'Γκρουπ Α'!C19</f>
        <v>0.91666666666666663</v>
      </c>
      <c r="D6" s="80" t="str">
        <f>'Γκρουπ Α'!D19</f>
        <v>Φορταλέζα</v>
      </c>
      <c r="E6" s="74" t="str">
        <f ca="1">'Γκρουπ Α'!E19</f>
        <v>Proximamente..</v>
      </c>
      <c r="F6" s="81" t="str">
        <f>'Γκρουπ Α'!F19</f>
        <v>Βραζιλία</v>
      </c>
      <c r="G6" s="90" t="str">
        <f>IF('Γκρουπ Α'!G19="","",'Γκρουπ Α'!G19)</f>
        <v/>
      </c>
      <c r="H6" s="86" t="str">
        <f>'Γκρουπ Α'!H19</f>
        <v>Μεξικό</v>
      </c>
      <c r="I6" s="91" t="str">
        <f>IF('Γκρουπ Α'!I19="","",'Γκρουπ Α'!I19)</f>
        <v/>
      </c>
      <c r="J6" s="21"/>
      <c r="K6" s="94" t="str">
        <f>Φύλλο1!B8</f>
        <v>Κροατία</v>
      </c>
      <c r="L6" s="94">
        <f>Φύλλο1!C8</f>
        <v>0</v>
      </c>
      <c r="M6" s="94">
        <f>Φύλλο1!D8</f>
        <v>0</v>
      </c>
      <c r="N6" s="94">
        <f>Φύλλο1!E8</f>
        <v>0</v>
      </c>
      <c r="O6" s="94">
        <f>Φύλλο1!F8</f>
        <v>0</v>
      </c>
      <c r="P6" s="94">
        <f>Φύλλο1!G8</f>
        <v>0</v>
      </c>
      <c r="Q6" s="94">
        <f>Φύλλο1!H8</f>
        <v>0</v>
      </c>
      <c r="R6" s="94">
        <f>Φύλλο1!I8</f>
        <v>0</v>
      </c>
      <c r="S6" s="94">
        <f>SUM(L6:N6)</f>
        <v>0</v>
      </c>
      <c r="U6" s="18" t="str">
        <f>K6</f>
        <v>Κροατία</v>
      </c>
    </row>
    <row r="7" spans="2:21" ht="13.5" thickBot="1" x14ac:dyDescent="0.25">
      <c r="B7" s="76">
        <f>'Γκρουπ Α'!B20</f>
        <v>41808</v>
      </c>
      <c r="C7" s="82">
        <f>'Γκρουπ Α'!C20</f>
        <v>0.95833333333333359</v>
      </c>
      <c r="D7" s="83" t="str">
        <f>'Γκρουπ Α'!D20</f>
        <v>Μανάους</v>
      </c>
      <c r="E7" s="77" t="str">
        <f ca="1">'Γκρουπ Α'!E20</f>
        <v>Proximamente..</v>
      </c>
      <c r="F7" s="84" t="str">
        <f>'Γκρουπ Α'!F20</f>
        <v>Καμερούν</v>
      </c>
      <c r="G7" s="90" t="str">
        <f>IF('Γκρουπ Α'!G20="","",'Γκρουπ Α'!G20)</f>
        <v/>
      </c>
      <c r="H7" s="87" t="str">
        <f>'Γκρουπ Α'!H20</f>
        <v>Κροατία</v>
      </c>
      <c r="I7" s="91" t="str">
        <f>IF('Γκρουπ Α'!I20="","",'Γκρουπ Α'!I20)</f>
        <v/>
      </c>
      <c r="J7" s="21"/>
      <c r="K7" s="94" t="str">
        <f>Φύλλο1!B9</f>
        <v>Μεξικό</v>
      </c>
      <c r="L7" s="94">
        <f>Φύλλο1!C9</f>
        <v>0</v>
      </c>
      <c r="M7" s="94">
        <f>Φύλλο1!D9</f>
        <v>0</v>
      </c>
      <c r="N7" s="94">
        <f>Φύλλο1!E9</f>
        <v>0</v>
      </c>
      <c r="O7" s="94">
        <f>Φύλλο1!F9</f>
        <v>0</v>
      </c>
      <c r="P7" s="94">
        <f>Φύλλο1!G9</f>
        <v>0</v>
      </c>
      <c r="Q7" s="94">
        <f>Φύλλο1!H9</f>
        <v>0</v>
      </c>
      <c r="R7" s="94">
        <f>Φύλλο1!I9</f>
        <v>0</v>
      </c>
      <c r="S7" s="94">
        <f>SUM(L7:N7)</f>
        <v>0</v>
      </c>
    </row>
    <row r="8" spans="2:21" ht="14.25" thickTop="1" thickBot="1" x14ac:dyDescent="0.25">
      <c r="B8" s="85">
        <f>'Γκρουπ Α'!B21</f>
        <v>41813</v>
      </c>
      <c r="C8" s="72">
        <f>'Γκρουπ Α'!C21</f>
        <v>0.95833333333333359</v>
      </c>
      <c r="D8" s="73" t="str">
        <f>'Γκρουπ Α'!D21</f>
        <v>Μπραζίλια</v>
      </c>
      <c r="E8" s="74" t="str">
        <f ca="1">'Γκρουπ Α'!E21</f>
        <v>Proximamente..</v>
      </c>
      <c r="F8" s="75" t="str">
        <f>'Γκρουπ Α'!F21</f>
        <v>Καμερούν</v>
      </c>
      <c r="G8" s="90" t="str">
        <f>IF('Γκρουπ Α'!G21="","",'Γκρουπ Α'!G21)</f>
        <v/>
      </c>
      <c r="H8" s="86" t="str">
        <f>'Γκρουπ Α'!H21</f>
        <v>Βραζιλία</v>
      </c>
      <c r="I8" s="91" t="str">
        <f>IF('Γκρουπ Α'!I21="","",'Γκρουπ Α'!I21)</f>
        <v/>
      </c>
      <c r="J8" s="21"/>
      <c r="K8" s="95" t="str">
        <f>Φύλλο1!B10</f>
        <v>Καμερούν</v>
      </c>
      <c r="L8" s="95">
        <f>Φύλλο1!C10</f>
        <v>0</v>
      </c>
      <c r="M8" s="95">
        <f>Φύλλο1!D10</f>
        <v>0</v>
      </c>
      <c r="N8" s="95">
        <f>Φύλλο1!E10</f>
        <v>0</v>
      </c>
      <c r="O8" s="95">
        <f>Φύλλο1!F10</f>
        <v>0</v>
      </c>
      <c r="P8" s="95">
        <f>Φύλλο1!G10</f>
        <v>0</v>
      </c>
      <c r="Q8" s="95">
        <f>Φύλλο1!H10</f>
        <v>0</v>
      </c>
      <c r="R8" s="95">
        <f>Φύλλο1!I10</f>
        <v>0</v>
      </c>
      <c r="S8" s="95">
        <f>SUM(L8:N8)</f>
        <v>0</v>
      </c>
    </row>
    <row r="9" spans="2:21" ht="13.5" thickBot="1" x14ac:dyDescent="0.25">
      <c r="B9" s="85">
        <f>'Γκρουπ Α'!B22</f>
        <v>41813</v>
      </c>
      <c r="C9" s="72">
        <f>'Γκρουπ Α'!C22</f>
        <v>0.95833333333333359</v>
      </c>
      <c r="D9" s="73" t="str">
        <f>'Γκρουπ Α'!D22</f>
        <v>Ρεσίφε</v>
      </c>
      <c r="E9" s="74" t="str">
        <f ca="1">'Γκρουπ Α'!E22</f>
        <v>Proximamente..</v>
      </c>
      <c r="F9" s="75" t="str">
        <f>'Γκρουπ Α'!F22</f>
        <v>Κροατία</v>
      </c>
      <c r="G9" s="90" t="str">
        <f>IF('Γκρουπ Α'!G22="","",'Γκρουπ Α'!G22)</f>
        <v/>
      </c>
      <c r="H9" s="86" t="str">
        <f>'Γκρουπ Α'!H22</f>
        <v>Μεξικό</v>
      </c>
      <c r="I9" s="91" t="str">
        <f>IF('Γκρουπ Α'!I22="","",'Γκρουπ Α'!I22)</f>
        <v/>
      </c>
      <c r="J9" s="21"/>
    </row>
    <row r="10" spans="2:21" ht="14.25" thickTop="1" thickBot="1" x14ac:dyDescent="0.25">
      <c r="B10" s="68" t="str">
        <f>'Γκρουπ Β'!B16</f>
        <v>Ημερ</v>
      </c>
      <c r="C10" s="69" t="str">
        <f>'Γκρουπ Β'!C16</f>
        <v>Ώρα</v>
      </c>
      <c r="D10" s="70" t="str">
        <f>'Γκρουπ Β'!D16</f>
        <v>Πόλη</v>
      </c>
      <c r="E10" s="70" t="str">
        <f>'Γκρουπ Β'!E16</f>
        <v>Στάδιο</v>
      </c>
      <c r="F10" s="99" t="str">
        <f>'Γκρουπ Β'!F16</f>
        <v>Αγώνας</v>
      </c>
      <c r="G10" s="99">
        <f>'Γκρουπ Β'!G16</f>
        <v>0</v>
      </c>
      <c r="H10" s="99">
        <f>'Γκρουπ Β'!H16</f>
        <v>0</v>
      </c>
      <c r="I10" s="99">
        <f>'Γκρουπ Β'!I16</f>
        <v>0</v>
      </c>
      <c r="J10" s="22"/>
    </row>
    <row r="11" spans="2:21" ht="14.25" thickTop="1" thickBot="1" x14ac:dyDescent="0.25">
      <c r="B11" s="71">
        <f>'Γκρουπ Β'!B17</f>
        <v>41803</v>
      </c>
      <c r="C11" s="72">
        <f>'Γκρουπ Β'!C17</f>
        <v>0.95833333333333337</v>
      </c>
      <c r="D11" s="73" t="str">
        <f>'Γκρουπ Β'!D17</f>
        <v>Σαλβαδόρ</v>
      </c>
      <c r="E11" s="74" t="str">
        <f ca="1">'Γκρουπ Β'!E17</f>
        <v>Proximamente...</v>
      </c>
      <c r="F11" s="75" t="str">
        <f>'Γκρουπ Β'!F17</f>
        <v>Ισπανία</v>
      </c>
      <c r="G11" s="90" t="str">
        <f>IF('Γκρουπ Β'!G17="","",'Γκρουπ Β'!G17)</f>
        <v/>
      </c>
      <c r="H11" s="86" t="str">
        <f>'Γκρουπ Β'!H17</f>
        <v>Ολλανδία</v>
      </c>
      <c r="I11" s="91" t="str">
        <f>IF('Γκρουπ Β'!I17="","",'Γκρουπ Β'!I17)</f>
        <v/>
      </c>
      <c r="J11" s="21"/>
      <c r="K11" s="92" t="str">
        <f>Φύλλο1!B13</f>
        <v>Ομάδα</v>
      </c>
      <c r="L11" s="93" t="str">
        <f>Φύλλο1!C13</f>
        <v>Ν</v>
      </c>
      <c r="M11" s="93" t="str">
        <f>Φύλλο1!D13</f>
        <v>Ι</v>
      </c>
      <c r="N11" s="93" t="str">
        <f>Φύλλο1!E13</f>
        <v>Η</v>
      </c>
      <c r="O11" s="93" t="str">
        <f>Φύλλο1!F13</f>
        <v>ΓΥ</v>
      </c>
      <c r="P11" s="93" t="str">
        <f>Φύλλο1!G13</f>
        <v>ΓΚ</v>
      </c>
      <c r="Q11" s="93" t="str">
        <f>Φύλλο1!H13</f>
        <v>Δ</v>
      </c>
      <c r="R11" s="93" t="str">
        <f>Φύλλο1!I13</f>
        <v>ΒΑΘ.</v>
      </c>
      <c r="S11" s="93" t="s">
        <v>2</v>
      </c>
      <c r="U11" s="18" t="s">
        <v>3</v>
      </c>
    </row>
    <row r="12" spans="2:21" ht="13.5" thickBot="1" x14ac:dyDescent="0.25">
      <c r="B12" s="76">
        <f>'Γκρουπ Β'!B18</f>
        <v>41804</v>
      </c>
      <c r="C12" s="72">
        <f>'Γκρουπ Β'!C18</f>
        <v>4.1666666666666664E-2</v>
      </c>
      <c r="D12" s="73" t="str">
        <f>'Γκρουπ Β'!D18</f>
        <v>Κουιάμπα</v>
      </c>
      <c r="E12" s="77" t="str">
        <f ca="1">'Γκρουπ Β'!E18</f>
        <v>Proximamente...</v>
      </c>
      <c r="F12" s="75" t="str">
        <f>'Γκρουπ Β'!F18</f>
        <v>Χιλή</v>
      </c>
      <c r="G12" s="90" t="str">
        <f>IF('Γκρουπ Β'!G18="","",'Γκρουπ Β'!G18)</f>
        <v/>
      </c>
      <c r="H12" s="87" t="str">
        <f>'Γκρουπ Β'!H18</f>
        <v>Αυστραλία</v>
      </c>
      <c r="I12" s="91" t="str">
        <f>IF('Γκρουπ Β'!I18="","",'Γκρουπ Β'!I18)</f>
        <v/>
      </c>
      <c r="J12" s="21"/>
      <c r="K12" s="94" t="str">
        <f>Φύλλο1!B14</f>
        <v>Ισπανία</v>
      </c>
      <c r="L12" s="94">
        <f>Φύλλο1!C14</f>
        <v>0</v>
      </c>
      <c r="M12" s="94">
        <f>Φύλλο1!D14</f>
        <v>0</v>
      </c>
      <c r="N12" s="94">
        <f>Φύλλο1!E14</f>
        <v>0</v>
      </c>
      <c r="O12" s="94">
        <f>Φύλλο1!F14</f>
        <v>0</v>
      </c>
      <c r="P12" s="94">
        <f>Φύλλο1!G14</f>
        <v>0</v>
      </c>
      <c r="Q12" s="94">
        <f>Φύλλο1!H14</f>
        <v>0</v>
      </c>
      <c r="R12" s="94">
        <f>Φύλλο1!I14</f>
        <v>0</v>
      </c>
      <c r="S12" s="94">
        <f>SUM(L12:N12)</f>
        <v>0</v>
      </c>
      <c r="U12" s="18" t="str">
        <f>K12</f>
        <v>Ισπανία</v>
      </c>
    </row>
    <row r="13" spans="2:21" ht="13.5" thickTop="1" x14ac:dyDescent="0.2">
      <c r="B13" s="78">
        <f>'Γκρουπ Β'!B19</f>
        <v>41808</v>
      </c>
      <c r="C13" s="79">
        <f>'Γκρουπ Β'!C19</f>
        <v>0.91666666666666663</v>
      </c>
      <c r="D13" s="80" t="str">
        <f>'Γκρουπ Β'!D19</f>
        <v>Ρίο Ντε Τζανέιρο</v>
      </c>
      <c r="E13" s="74" t="str">
        <f ca="1">'Γκρουπ Β'!E19</f>
        <v>Proximamente...</v>
      </c>
      <c r="F13" s="81" t="str">
        <f>'Γκρουπ Β'!F19</f>
        <v>Ισπανία</v>
      </c>
      <c r="G13" s="90" t="str">
        <f>IF('Γκρουπ Β'!G19="","",'Γκρουπ Β'!G19)</f>
        <v/>
      </c>
      <c r="H13" s="86" t="str">
        <f>'Γκρουπ Β'!H19</f>
        <v>Χιλή</v>
      </c>
      <c r="I13" s="91" t="str">
        <f>IF('Γκρουπ Β'!I19="","",'Γκρουπ Β'!I19)</f>
        <v/>
      </c>
      <c r="J13" s="21"/>
      <c r="K13" s="94" t="str">
        <f>Φύλλο1!B15</f>
        <v>Ολλανδία</v>
      </c>
      <c r="L13" s="94">
        <f>Φύλλο1!C15</f>
        <v>0</v>
      </c>
      <c r="M13" s="94">
        <f>Φύλλο1!D15</f>
        <v>0</v>
      </c>
      <c r="N13" s="94">
        <f>Φύλλο1!E15</f>
        <v>0</v>
      </c>
      <c r="O13" s="94">
        <f>Φύλλο1!F15</f>
        <v>0</v>
      </c>
      <c r="P13" s="94">
        <f>Φύλλο1!G15</f>
        <v>0</v>
      </c>
      <c r="Q13" s="94">
        <f>Φύλλο1!H15</f>
        <v>0</v>
      </c>
      <c r="R13" s="94">
        <f>Φύλλο1!I15</f>
        <v>0</v>
      </c>
      <c r="S13" s="94">
        <f>SUM(L13:N13)</f>
        <v>0</v>
      </c>
      <c r="U13" s="18" t="str">
        <f>K13</f>
        <v>Ολλανδία</v>
      </c>
    </row>
    <row r="14" spans="2:21" ht="13.5" thickBot="1" x14ac:dyDescent="0.25">
      <c r="B14" s="76">
        <f>'Γκρουπ Β'!B20</f>
        <v>41808</v>
      </c>
      <c r="C14" s="82">
        <f>'Γκρουπ Β'!C20</f>
        <v>0.79166666666666663</v>
      </c>
      <c r="D14" s="83" t="str">
        <f>'Γκρουπ Β'!D20</f>
        <v>Πόρτο Αλέγκρε</v>
      </c>
      <c r="E14" s="77" t="str">
        <f ca="1">'Γκρουπ Β'!E20</f>
        <v>Proximamente...</v>
      </c>
      <c r="F14" s="84" t="str">
        <f>'Γκρουπ Β'!F20</f>
        <v>Αυστραλία</v>
      </c>
      <c r="G14" s="90" t="str">
        <f>IF('Γκρουπ Β'!G20="","",'Γκρουπ Β'!G20)</f>
        <v/>
      </c>
      <c r="H14" s="87" t="str">
        <f>'Γκρουπ Β'!H20</f>
        <v>Ολλανδία</v>
      </c>
      <c r="I14" s="91" t="str">
        <f>IF('Γκρουπ Β'!I20="","",'Γκρουπ Β'!I20)</f>
        <v/>
      </c>
      <c r="J14" s="21"/>
      <c r="K14" s="94" t="str">
        <f>Φύλλο1!B16</f>
        <v>Χιλή</v>
      </c>
      <c r="L14" s="94">
        <f>Φύλλο1!C16</f>
        <v>0</v>
      </c>
      <c r="M14" s="94">
        <f>Φύλλο1!D16</f>
        <v>0</v>
      </c>
      <c r="N14" s="94">
        <f>Φύλλο1!E16</f>
        <v>0</v>
      </c>
      <c r="O14" s="94">
        <f>Φύλλο1!F16</f>
        <v>0</v>
      </c>
      <c r="P14" s="94">
        <f>Φύλλο1!G16</f>
        <v>0</v>
      </c>
      <c r="Q14" s="94">
        <f>Φύλλο1!H16</f>
        <v>0</v>
      </c>
      <c r="R14" s="94">
        <f>Φύλλο1!I16</f>
        <v>0</v>
      </c>
      <c r="S14" s="94">
        <f>SUM(L14:N14)</f>
        <v>0</v>
      </c>
    </row>
    <row r="15" spans="2:21" ht="14.25" thickTop="1" thickBot="1" x14ac:dyDescent="0.25">
      <c r="B15" s="85">
        <f>'Γκρουπ Β'!B21</f>
        <v>41813</v>
      </c>
      <c r="C15" s="72">
        <f>'Γκρουπ Β'!C21</f>
        <v>0.79166666666666663</v>
      </c>
      <c r="D15" s="73" t="str">
        <f>'Γκρουπ Β'!D21</f>
        <v>Κουριτίμπα</v>
      </c>
      <c r="E15" s="74" t="str">
        <f ca="1">'Γκρουπ Β'!E21</f>
        <v>Proximamente...</v>
      </c>
      <c r="F15" s="75" t="str">
        <f>'Γκρουπ Β'!F21</f>
        <v>Αυστραλία</v>
      </c>
      <c r="G15" s="90" t="str">
        <f>IF('Γκρουπ Β'!G21="","",'Γκρουπ Β'!G21)</f>
        <v/>
      </c>
      <c r="H15" s="86" t="str">
        <f>'Γκρουπ Β'!H21</f>
        <v>Ισπανία</v>
      </c>
      <c r="I15" s="91" t="str">
        <f>IF('Γκρουπ Β'!I21="","",'Γκρουπ Β'!I21)</f>
        <v/>
      </c>
      <c r="J15" s="21"/>
      <c r="K15" s="95" t="str">
        <f>Φύλλο1!B17</f>
        <v>Αυστραλία</v>
      </c>
      <c r="L15" s="95">
        <f>Φύλλο1!C17</f>
        <v>0</v>
      </c>
      <c r="M15" s="95">
        <f>Φύλλο1!D17</f>
        <v>0</v>
      </c>
      <c r="N15" s="95">
        <f>Φύλλο1!E17</f>
        <v>0</v>
      </c>
      <c r="O15" s="95">
        <f>Φύλλο1!F17</f>
        <v>0</v>
      </c>
      <c r="P15" s="95">
        <f>Φύλλο1!G17</f>
        <v>0</v>
      </c>
      <c r="Q15" s="95">
        <f>Φύλλο1!H17</f>
        <v>0</v>
      </c>
      <c r="R15" s="95">
        <f>Φύλλο1!I17</f>
        <v>0</v>
      </c>
      <c r="S15" s="95">
        <f>SUM(L15:N15)</f>
        <v>0</v>
      </c>
    </row>
    <row r="16" spans="2:21" ht="13.5" thickBot="1" x14ac:dyDescent="0.25">
      <c r="B16" s="85">
        <f>'Γκρουπ Β'!B22</f>
        <v>41813</v>
      </c>
      <c r="C16" s="72">
        <f>'Γκρουπ Β'!C22</f>
        <v>0.79166666666666663</v>
      </c>
      <c r="D16" s="73" t="str">
        <f>'Γκρουπ Β'!D22</f>
        <v>Μπέλο Οριζόντε</v>
      </c>
      <c r="E16" s="74" t="str">
        <f ca="1">'Γκρουπ Β'!E22</f>
        <v>Proximamente...</v>
      </c>
      <c r="F16" s="75" t="str">
        <f>'Γκρουπ Β'!F22</f>
        <v>Ολλανδία</v>
      </c>
      <c r="G16" s="90" t="str">
        <f>IF('Γκρουπ Β'!G22="","",'Γκρουπ Β'!G22)</f>
        <v/>
      </c>
      <c r="H16" s="86" t="str">
        <f>'Γκρουπ Β'!H22</f>
        <v>Χιλή</v>
      </c>
      <c r="I16" s="91" t="str">
        <f>IF('Γκρουπ Β'!I22="","",'Γκρουπ Β'!I22)</f>
        <v/>
      </c>
      <c r="J16" s="21"/>
    </row>
    <row r="17" spans="2:21" ht="14.25" thickTop="1" thickBot="1" x14ac:dyDescent="0.25">
      <c r="B17" s="68" t="str">
        <f>'Γκρουπ Γ'!B16</f>
        <v>Ημερ</v>
      </c>
      <c r="C17" s="69" t="str">
        <f>'Γκρουπ Γ'!C16</f>
        <v>Ώρα</v>
      </c>
      <c r="D17" s="70" t="str">
        <f>'Γκρουπ Γ'!D16</f>
        <v>Πόλη</v>
      </c>
      <c r="E17" s="70" t="str">
        <f>'Γκρουπ Γ'!E16</f>
        <v>Στάδιο</v>
      </c>
      <c r="F17" s="104" t="str">
        <f>'Γκρουπ Γ'!F16</f>
        <v>Αγώνας</v>
      </c>
      <c r="G17" s="105">
        <f>'Γκρουπ Γ'!G16</f>
        <v>0</v>
      </c>
      <c r="H17" s="105">
        <f>'Γκρουπ Γ'!H16</f>
        <v>0</v>
      </c>
      <c r="I17" s="106">
        <f>'Γκρουπ Γ'!I16</f>
        <v>0</v>
      </c>
      <c r="J17" s="22"/>
    </row>
    <row r="18" spans="2:21" ht="14.25" thickTop="1" thickBot="1" x14ac:dyDescent="0.25">
      <c r="B18" s="71">
        <f>'Γκρουπ Γ'!B17</f>
        <v>41804</v>
      </c>
      <c r="C18" s="72">
        <f>'Γκρουπ Γ'!C17</f>
        <v>0.79166666666666663</v>
      </c>
      <c r="D18" s="73" t="str">
        <f>'Γκρουπ Γ'!D17</f>
        <v>Μπέλο Οριζόντε</v>
      </c>
      <c r="E18" s="74" t="str">
        <f ca="1">'Γκρουπ Γ'!E17</f>
        <v>Proximamente..</v>
      </c>
      <c r="F18" s="75" t="str">
        <f>'Γκρουπ Γ'!F17</f>
        <v>Κολομβία</v>
      </c>
      <c r="G18" s="90" t="str">
        <f>IF('Γκρουπ Γ'!G17="","",'Γκρουπ Γ'!G17)</f>
        <v/>
      </c>
      <c r="H18" s="86" t="str">
        <f>'Γκρουπ Γ'!H17</f>
        <v>Ελλάδα</v>
      </c>
      <c r="I18" s="91" t="str">
        <f>IF('Γκρουπ Γ'!I17="","",'Γκρουπ Γ'!I17)</f>
        <v/>
      </c>
      <c r="J18" s="21"/>
      <c r="K18" s="92" t="str">
        <f>Φύλλο1!B20</f>
        <v>Ομάδα</v>
      </c>
      <c r="L18" s="93" t="str">
        <f>Φύλλο1!C20</f>
        <v>Ν</v>
      </c>
      <c r="M18" s="93" t="str">
        <f>Φύλλο1!D20</f>
        <v>Ι</v>
      </c>
      <c r="N18" s="93" t="str">
        <f>Φύλλο1!E20</f>
        <v>Η</v>
      </c>
      <c r="O18" s="93" t="str">
        <f>Φύλλο1!F20</f>
        <v>ΓΥ</v>
      </c>
      <c r="P18" s="93" t="str">
        <f>Φύλλο1!G20</f>
        <v>ΓΚ</v>
      </c>
      <c r="Q18" s="93" t="str">
        <f>Φύλλο1!H20</f>
        <v>Δ</v>
      </c>
      <c r="R18" s="93" t="str">
        <f>Φύλλο1!I20</f>
        <v>ΒΑΘ.</v>
      </c>
      <c r="S18" s="93" t="s">
        <v>2</v>
      </c>
      <c r="U18" s="18" t="s">
        <v>3</v>
      </c>
    </row>
    <row r="19" spans="2:21" ht="13.5" thickBot="1" x14ac:dyDescent="0.25">
      <c r="B19" s="76">
        <f>'Γκρουπ Γ'!B18</f>
        <v>41805</v>
      </c>
      <c r="C19" s="72">
        <f>'Γκρουπ Γ'!C18</f>
        <v>0.16666666666666666</v>
      </c>
      <c r="D19" s="73" t="str">
        <f>'Γκρουπ Γ'!D18</f>
        <v>Ρεσίφε</v>
      </c>
      <c r="E19" s="77" t="str">
        <f ca="1">'Γκρουπ Γ'!E18</f>
        <v>Proximamente..</v>
      </c>
      <c r="F19" s="75" t="str">
        <f>'Γκρουπ Γ'!F18</f>
        <v>Ακτή Ελεφαντοστού</v>
      </c>
      <c r="G19" s="90" t="str">
        <f>IF('Γκρουπ Γ'!G18="","",'Γκρουπ Γ'!G18)</f>
        <v/>
      </c>
      <c r="H19" s="87" t="str">
        <f>'Γκρουπ Γ'!H18</f>
        <v>Ιαπωνία</v>
      </c>
      <c r="I19" s="91" t="str">
        <f>IF('Γκρουπ Γ'!I18="","",'Γκρουπ Γ'!I18)</f>
        <v/>
      </c>
      <c r="J19" s="21"/>
      <c r="K19" s="94" t="str">
        <f>Φύλλο1!B21</f>
        <v>Κολομβία</v>
      </c>
      <c r="L19" s="94">
        <f>Φύλλο1!C21</f>
        <v>0</v>
      </c>
      <c r="M19" s="94">
        <f>Φύλλο1!D21</f>
        <v>0</v>
      </c>
      <c r="N19" s="94">
        <f>Φύλλο1!E21</f>
        <v>0</v>
      </c>
      <c r="O19" s="94">
        <f>Φύλλο1!F21</f>
        <v>0</v>
      </c>
      <c r="P19" s="94">
        <f>Φύλλο1!G21</f>
        <v>0</v>
      </c>
      <c r="Q19" s="94">
        <f>Φύλλο1!H21</f>
        <v>0</v>
      </c>
      <c r="R19" s="94">
        <f>Φύλλο1!I21</f>
        <v>0</v>
      </c>
      <c r="S19" s="94">
        <f>SUM(L19:N19)</f>
        <v>0</v>
      </c>
      <c r="U19" s="18" t="str">
        <f>K19</f>
        <v>Κολομβία</v>
      </c>
    </row>
    <row r="20" spans="2:21" ht="13.5" thickTop="1" x14ac:dyDescent="0.2">
      <c r="B20" s="78">
        <f>'Γκρουπ Γ'!B19</f>
        <v>41809</v>
      </c>
      <c r="C20" s="79">
        <f>'Γκρουπ Γ'!C19</f>
        <v>0.79166666666666663</v>
      </c>
      <c r="D20" s="80" t="str">
        <f>'Γκρουπ Γ'!D19</f>
        <v>Μπραζίλια</v>
      </c>
      <c r="E20" s="74" t="str">
        <f ca="1">'Γκρουπ Γ'!E19</f>
        <v>Proximamente..</v>
      </c>
      <c r="F20" s="81" t="str">
        <f>'Γκρουπ Γ'!F19</f>
        <v>Κολομβία</v>
      </c>
      <c r="G20" s="90" t="str">
        <f>IF('Γκρουπ Γ'!G19="","",'Γκρουπ Γ'!G19)</f>
        <v/>
      </c>
      <c r="H20" s="86" t="str">
        <f>'Γκρουπ Γ'!H19</f>
        <v>Ακτή Ελεφαντοστού</v>
      </c>
      <c r="I20" s="91" t="str">
        <f>IF('Γκρουπ Γ'!I19="","",'Γκρουπ Γ'!I19)</f>
        <v/>
      </c>
      <c r="J20" s="21"/>
      <c r="K20" s="94" t="str">
        <f>Φύλλο1!B22</f>
        <v>Ελλάδα</v>
      </c>
      <c r="L20" s="94">
        <f>Φύλλο1!C22</f>
        <v>0</v>
      </c>
      <c r="M20" s="94">
        <f>Φύλλο1!D22</f>
        <v>0</v>
      </c>
      <c r="N20" s="94">
        <f>Φύλλο1!E22</f>
        <v>0</v>
      </c>
      <c r="O20" s="94">
        <f>Φύλλο1!F22</f>
        <v>0</v>
      </c>
      <c r="P20" s="94">
        <f>Φύλλο1!G22</f>
        <v>0</v>
      </c>
      <c r="Q20" s="94">
        <f>Φύλλο1!H22</f>
        <v>0</v>
      </c>
      <c r="R20" s="94">
        <f>Φύλλο1!I22</f>
        <v>0</v>
      </c>
      <c r="S20" s="94">
        <f>SUM(L20:N20)</f>
        <v>0</v>
      </c>
      <c r="U20" s="18" t="str">
        <f>K20</f>
        <v>Ελλάδα</v>
      </c>
    </row>
    <row r="21" spans="2:21" ht="13.5" thickBot="1" x14ac:dyDescent="0.25">
      <c r="B21" s="76">
        <f>'Γκρουπ Γ'!B20</f>
        <v>41810</v>
      </c>
      <c r="C21" s="82">
        <f>'Γκρουπ Γ'!C20</f>
        <v>4.1666666666666664E-2</v>
      </c>
      <c r="D21" s="83" t="str">
        <f>'Γκρουπ Γ'!D20</f>
        <v>Νατάλ</v>
      </c>
      <c r="E21" s="77" t="str">
        <f ca="1">'Γκρουπ Γ'!E20</f>
        <v>Proximamente..</v>
      </c>
      <c r="F21" s="84" t="str">
        <f>'Γκρουπ Γ'!F20</f>
        <v>Ιαπωνία</v>
      </c>
      <c r="G21" s="90" t="str">
        <f>IF('Γκρουπ Γ'!G20="","",'Γκρουπ Γ'!G20)</f>
        <v/>
      </c>
      <c r="H21" s="87" t="str">
        <f>'Γκρουπ Γ'!H20</f>
        <v>Ελλάδα</v>
      </c>
      <c r="I21" s="91" t="str">
        <f>IF('Γκρουπ Γ'!I20="","",'Γκρουπ Γ'!I20)</f>
        <v/>
      </c>
      <c r="J21" s="21"/>
      <c r="K21" s="94" t="str">
        <f>Φύλλο1!B23</f>
        <v>Ακτή Ελεφαντοστού</v>
      </c>
      <c r="L21" s="94">
        <f>Φύλλο1!C23</f>
        <v>0</v>
      </c>
      <c r="M21" s="94">
        <f>Φύλλο1!D23</f>
        <v>0</v>
      </c>
      <c r="N21" s="94">
        <f>Φύλλο1!E23</f>
        <v>0</v>
      </c>
      <c r="O21" s="94">
        <f>Φύλλο1!F23</f>
        <v>0</v>
      </c>
      <c r="P21" s="94">
        <f>Φύλλο1!G23</f>
        <v>0</v>
      </c>
      <c r="Q21" s="94">
        <f>Φύλλο1!H23</f>
        <v>0</v>
      </c>
      <c r="R21" s="94">
        <f>Φύλλο1!I23</f>
        <v>0</v>
      </c>
      <c r="S21" s="94">
        <f>SUM(L21:N21)</f>
        <v>0</v>
      </c>
    </row>
    <row r="22" spans="2:21" ht="14.25" thickTop="1" thickBot="1" x14ac:dyDescent="0.25">
      <c r="B22" s="85">
        <f>'Γκρουπ Γ'!B21</f>
        <v>41814</v>
      </c>
      <c r="C22" s="72">
        <f>'Γκρουπ Γ'!C21</f>
        <v>0.95833333333333337</v>
      </c>
      <c r="D22" s="73" t="str">
        <f>'Γκρουπ Γ'!D21</f>
        <v>Κουιάμπα</v>
      </c>
      <c r="E22" s="74" t="str">
        <f ca="1">'Γκρουπ Γ'!E21</f>
        <v>Proximamente..</v>
      </c>
      <c r="F22" s="75" t="str">
        <f>'Γκρουπ Γ'!F21</f>
        <v>Ιαπωνία</v>
      </c>
      <c r="G22" s="90" t="str">
        <f>IF('Γκρουπ Γ'!G21="","",'Γκρουπ Γ'!G21)</f>
        <v/>
      </c>
      <c r="H22" s="86" t="str">
        <f>'Γκρουπ Γ'!H21</f>
        <v>Κολομβία</v>
      </c>
      <c r="I22" s="91" t="str">
        <f>IF('Γκρουπ Γ'!I21="","",'Γκρουπ Γ'!I21)</f>
        <v/>
      </c>
      <c r="J22" s="21"/>
      <c r="K22" s="95" t="str">
        <f>Φύλλο1!B24</f>
        <v>Ιαπωνία</v>
      </c>
      <c r="L22" s="95">
        <f>Φύλλο1!C24</f>
        <v>0</v>
      </c>
      <c r="M22" s="95">
        <f>Φύλλο1!D24</f>
        <v>0</v>
      </c>
      <c r="N22" s="95">
        <f>Φύλλο1!E24</f>
        <v>0</v>
      </c>
      <c r="O22" s="95">
        <f>Φύλλο1!F24</f>
        <v>0</v>
      </c>
      <c r="P22" s="95">
        <f>Φύλλο1!G24</f>
        <v>0</v>
      </c>
      <c r="Q22" s="95">
        <f>Φύλλο1!H24</f>
        <v>0</v>
      </c>
      <c r="R22" s="95">
        <f>Φύλλο1!I24</f>
        <v>0</v>
      </c>
      <c r="S22" s="95">
        <f>SUM(L22:N22)</f>
        <v>0</v>
      </c>
    </row>
    <row r="23" spans="2:21" ht="13.5" thickBot="1" x14ac:dyDescent="0.25">
      <c r="B23" s="85">
        <f>'Γκρουπ Γ'!B22</f>
        <v>41814</v>
      </c>
      <c r="C23" s="72">
        <f>'Γκρουπ Γ'!C22</f>
        <v>0.95833333333333337</v>
      </c>
      <c r="D23" s="73" t="str">
        <f>'Γκρουπ Γ'!D22</f>
        <v>Φορταλέζα</v>
      </c>
      <c r="E23" s="74" t="str">
        <f ca="1">'Γκρουπ Γ'!E22</f>
        <v>Proximamente..</v>
      </c>
      <c r="F23" s="75" t="str">
        <f>'Γκρουπ Γ'!F22</f>
        <v>Ελλάδα</v>
      </c>
      <c r="G23" s="90" t="str">
        <f>IF('Γκρουπ Γ'!G22="","",'Γκρουπ Γ'!G22)</f>
        <v/>
      </c>
      <c r="H23" s="86" t="str">
        <f>'Γκρουπ Γ'!H22</f>
        <v>Ακτή Ελεφαντοστού</v>
      </c>
      <c r="I23" s="91" t="str">
        <f>IF('Γκρουπ Γ'!I22="","",'Γκρουπ Γ'!I22)</f>
        <v/>
      </c>
      <c r="J23" s="21"/>
    </row>
    <row r="24" spans="2:21" ht="14.25" thickTop="1" thickBot="1" x14ac:dyDescent="0.25">
      <c r="B24" s="68" t="str">
        <f>'Γκρουπ Δ'!B16</f>
        <v>Ημερ</v>
      </c>
      <c r="C24" s="69" t="str">
        <f>'Γκρουπ Δ'!C16</f>
        <v>Ώρα</v>
      </c>
      <c r="D24" s="70" t="str">
        <f>'Γκρουπ Δ'!D16</f>
        <v>Πόλη</v>
      </c>
      <c r="E24" s="70" t="str">
        <f>'Γκρουπ Δ'!E16</f>
        <v>Στάδιο</v>
      </c>
      <c r="F24" s="99" t="str">
        <f>'Γκρουπ Δ'!F16</f>
        <v>Αγώνας</v>
      </c>
      <c r="G24" s="99">
        <f>'Γκρουπ Δ'!G16</f>
        <v>0</v>
      </c>
      <c r="H24" s="99">
        <f>'Γκρουπ Δ'!H16</f>
        <v>0</v>
      </c>
      <c r="I24" s="99">
        <f>'Γκρουπ Δ'!I16</f>
        <v>0</v>
      </c>
      <c r="J24" s="22"/>
    </row>
    <row r="25" spans="2:21" ht="14.25" thickTop="1" thickBot="1" x14ac:dyDescent="0.25">
      <c r="B25" s="71">
        <f>'Γκρουπ Δ'!B17</f>
        <v>41804</v>
      </c>
      <c r="C25" s="72">
        <f>'Γκρουπ Δ'!C17</f>
        <v>0.91666666666666663</v>
      </c>
      <c r="D25" s="73" t="str">
        <f>'Γκρουπ Δ'!D17</f>
        <v>Φορταλέζα</v>
      </c>
      <c r="E25" s="74" t="str">
        <f ca="1">'Γκρουπ Δ'!E17</f>
        <v>Proximamente..</v>
      </c>
      <c r="F25" s="75" t="str">
        <f>'Γκρουπ Δ'!F17</f>
        <v>Ουρουγουάη</v>
      </c>
      <c r="G25" s="90" t="str">
        <f>IF('Γκρουπ Δ'!G17="","",'Γκρουπ Δ'!G17)</f>
        <v/>
      </c>
      <c r="H25" s="86" t="str">
        <f>'Γκρουπ Δ'!H17</f>
        <v>Κόστα Ρίκα</v>
      </c>
      <c r="I25" s="91" t="str">
        <f>IF('Γκρουπ Δ'!I17="","",'Γκρουπ Δ'!I17)</f>
        <v/>
      </c>
      <c r="J25" s="21"/>
      <c r="K25" s="92" t="str">
        <f>Φύλλο1!B27</f>
        <v>Ομάδα</v>
      </c>
      <c r="L25" s="93" t="str">
        <f>Φύλλο1!C27</f>
        <v>Ν</v>
      </c>
      <c r="M25" s="93" t="str">
        <f>Φύλλο1!D27</f>
        <v>Ι</v>
      </c>
      <c r="N25" s="93" t="str">
        <f>Φύλλο1!E27</f>
        <v>Η</v>
      </c>
      <c r="O25" s="93" t="str">
        <f>Φύλλο1!F27</f>
        <v>ΓΥ</v>
      </c>
      <c r="P25" s="93" t="str">
        <f>Φύλλο1!G27</f>
        <v>ΓΚ</v>
      </c>
      <c r="Q25" s="93" t="str">
        <f>Φύλλο1!H27</f>
        <v>Δ</v>
      </c>
      <c r="R25" s="93" t="str">
        <f>Φύλλο1!I27</f>
        <v>ΒΑΘ.</v>
      </c>
      <c r="S25" s="93" t="s">
        <v>2</v>
      </c>
      <c r="U25" s="18" t="s">
        <v>3</v>
      </c>
    </row>
    <row r="26" spans="2:21" ht="13.5" thickBot="1" x14ac:dyDescent="0.25">
      <c r="B26" s="76">
        <f>'Γκρουπ Δ'!B18</f>
        <v>41805</v>
      </c>
      <c r="C26" s="72">
        <f>'Γκρουπ Δ'!C18</f>
        <v>4.1666666666666664E-2</v>
      </c>
      <c r="D26" s="73" t="str">
        <f>'Γκρουπ Δ'!D18</f>
        <v>Μανάους</v>
      </c>
      <c r="E26" s="77" t="str">
        <f ca="1">'Γκρουπ Δ'!E18</f>
        <v>Proximamente..</v>
      </c>
      <c r="F26" s="75" t="str">
        <f>'Γκρουπ Δ'!F18</f>
        <v>Αγγλία</v>
      </c>
      <c r="G26" s="90" t="str">
        <f>IF('Γκρουπ Δ'!G18="","",'Γκρουπ Δ'!G18)</f>
        <v/>
      </c>
      <c r="H26" s="87" t="str">
        <f>'Γκρουπ Δ'!H18</f>
        <v>Ιταλία</v>
      </c>
      <c r="I26" s="91" t="str">
        <f>IF('Γκρουπ Δ'!I18="","",'Γκρουπ Δ'!I18)</f>
        <v/>
      </c>
      <c r="J26" s="21"/>
      <c r="K26" s="94" t="str">
        <f>Φύλλο1!B28</f>
        <v>Ουρουγουάη</v>
      </c>
      <c r="L26" s="94">
        <f>Φύλλο1!C28</f>
        <v>0</v>
      </c>
      <c r="M26" s="94">
        <f>Φύλλο1!D28</f>
        <v>0</v>
      </c>
      <c r="N26" s="94">
        <f>Φύλλο1!E28</f>
        <v>0</v>
      </c>
      <c r="O26" s="94">
        <f>Φύλλο1!F28</f>
        <v>0</v>
      </c>
      <c r="P26" s="94">
        <f>Φύλλο1!G28</f>
        <v>0</v>
      </c>
      <c r="Q26" s="94">
        <f>Φύλλο1!H28</f>
        <v>0</v>
      </c>
      <c r="R26" s="94">
        <f>Φύλλο1!I28</f>
        <v>0</v>
      </c>
      <c r="S26" s="94">
        <f>SUM(L26:N26)</f>
        <v>0</v>
      </c>
      <c r="U26" s="18" t="str">
        <f>K26</f>
        <v>Ουρουγουάη</v>
      </c>
    </row>
    <row r="27" spans="2:21" ht="13.5" thickTop="1" x14ac:dyDescent="0.2">
      <c r="B27" s="78">
        <f>'Γκρουπ Δ'!B19</f>
        <v>41809</v>
      </c>
      <c r="C27" s="79">
        <f>'Γκρουπ Δ'!C19</f>
        <v>0.91666666666666663</v>
      </c>
      <c r="D27" s="80" t="str">
        <f>'Γκρουπ Δ'!D19</f>
        <v>Σάο Πάολο</v>
      </c>
      <c r="E27" s="74" t="str">
        <f ca="1">'Γκρουπ Δ'!E19</f>
        <v>Proximamente..</v>
      </c>
      <c r="F27" s="81" t="str">
        <f>'Γκρουπ Δ'!F19</f>
        <v>Ουρουγουάη</v>
      </c>
      <c r="G27" s="90" t="str">
        <f>IF('Γκρουπ Δ'!G19="","",'Γκρουπ Δ'!G19)</f>
        <v/>
      </c>
      <c r="H27" s="86" t="str">
        <f>'Γκρουπ Δ'!H19</f>
        <v>Αγγλία</v>
      </c>
      <c r="I27" s="91" t="str">
        <f>IF('Γκρουπ Δ'!I19="","",'Γκρουπ Δ'!I19)</f>
        <v/>
      </c>
      <c r="J27" s="21"/>
      <c r="K27" s="94" t="str">
        <f>Φύλλο1!B29</f>
        <v>Κόστα Ρίκα</v>
      </c>
      <c r="L27" s="94">
        <f>Φύλλο1!C29</f>
        <v>0</v>
      </c>
      <c r="M27" s="94">
        <f>Φύλλο1!D29</f>
        <v>0</v>
      </c>
      <c r="N27" s="94">
        <f>Φύλλο1!E29</f>
        <v>0</v>
      </c>
      <c r="O27" s="94">
        <f>Φύλλο1!F29</f>
        <v>0</v>
      </c>
      <c r="P27" s="94">
        <f>Φύλλο1!G29</f>
        <v>0</v>
      </c>
      <c r="Q27" s="94">
        <f>Φύλλο1!H29</f>
        <v>0</v>
      </c>
      <c r="R27" s="94">
        <f>Φύλλο1!I29</f>
        <v>0</v>
      </c>
      <c r="S27" s="94">
        <f>SUM(L27:N27)</f>
        <v>0</v>
      </c>
      <c r="U27" s="18" t="str">
        <f>K27</f>
        <v>Κόστα Ρίκα</v>
      </c>
    </row>
    <row r="28" spans="2:21" ht="13.5" thickBot="1" x14ac:dyDescent="0.25">
      <c r="B28" s="76">
        <f>'Γκρουπ Δ'!B20</f>
        <v>41810</v>
      </c>
      <c r="C28" s="82">
        <f>'Γκρουπ Δ'!C20</f>
        <v>0.79166666666666663</v>
      </c>
      <c r="D28" s="83" t="str">
        <f>'Γκρουπ Δ'!D20</f>
        <v>Ρεσίφε</v>
      </c>
      <c r="E28" s="77" t="str">
        <f ca="1">'Γκρουπ Δ'!E20</f>
        <v>Proximamente..</v>
      </c>
      <c r="F28" s="84" t="str">
        <f>'Γκρουπ Δ'!F20</f>
        <v>Ιταλία</v>
      </c>
      <c r="G28" s="90" t="str">
        <f>IF('Γκρουπ Δ'!G20="","",'Γκρουπ Δ'!G20)</f>
        <v/>
      </c>
      <c r="H28" s="87" t="str">
        <f>'Γκρουπ Δ'!H20</f>
        <v>Κόστα Ρίκα</v>
      </c>
      <c r="I28" s="91" t="str">
        <f>IF('Γκρουπ Δ'!I20="","",'Γκρουπ Δ'!I20)</f>
        <v/>
      </c>
      <c r="J28" s="21"/>
      <c r="K28" s="94" t="str">
        <f>Φύλλο1!B30</f>
        <v>Αγγλία</v>
      </c>
      <c r="L28" s="94">
        <f>Φύλλο1!C30</f>
        <v>0</v>
      </c>
      <c r="M28" s="94">
        <f>Φύλλο1!D30</f>
        <v>0</v>
      </c>
      <c r="N28" s="94">
        <f>Φύλλο1!E30</f>
        <v>0</v>
      </c>
      <c r="O28" s="94">
        <f>Φύλλο1!F30</f>
        <v>0</v>
      </c>
      <c r="P28" s="94">
        <f>Φύλλο1!G30</f>
        <v>0</v>
      </c>
      <c r="Q28" s="94">
        <f>Φύλλο1!H30</f>
        <v>0</v>
      </c>
      <c r="R28" s="94">
        <f>Φύλλο1!I30</f>
        <v>0</v>
      </c>
      <c r="S28" s="94">
        <f>SUM(L28:N28)</f>
        <v>0</v>
      </c>
    </row>
    <row r="29" spans="2:21" ht="14.25" thickTop="1" thickBot="1" x14ac:dyDescent="0.25">
      <c r="B29" s="85">
        <f>'Γκρουπ Δ'!B21</f>
        <v>41814</v>
      </c>
      <c r="C29" s="72">
        <f>'Γκρουπ Δ'!C21</f>
        <v>0.79166666666666663</v>
      </c>
      <c r="D29" s="73" t="str">
        <f>'Γκρουπ Δ'!D21</f>
        <v>Νατάλ</v>
      </c>
      <c r="E29" s="74" t="str">
        <f ca="1">'Γκρουπ Δ'!E21</f>
        <v>Proximamente..</v>
      </c>
      <c r="F29" s="75" t="str">
        <f>'Γκρουπ Δ'!F21</f>
        <v>Ιταλία</v>
      </c>
      <c r="G29" s="90" t="str">
        <f>IF('Γκρουπ Δ'!G21="","",'Γκρουπ Δ'!G21)</f>
        <v/>
      </c>
      <c r="H29" s="86" t="str">
        <f>'Γκρουπ Δ'!H21</f>
        <v>Ουρουγουάη</v>
      </c>
      <c r="I29" s="91" t="str">
        <f>IF('Γκρουπ Δ'!I21="","",'Γκρουπ Δ'!I21)</f>
        <v/>
      </c>
      <c r="J29" s="21"/>
      <c r="K29" s="95" t="str">
        <f>Φύλλο1!B31</f>
        <v>Ιταλία</v>
      </c>
      <c r="L29" s="95">
        <f>Φύλλο1!C31</f>
        <v>0</v>
      </c>
      <c r="M29" s="95">
        <f>Φύλλο1!D31</f>
        <v>0</v>
      </c>
      <c r="N29" s="95">
        <f>Φύλλο1!E31</f>
        <v>0</v>
      </c>
      <c r="O29" s="95">
        <f>Φύλλο1!F31</f>
        <v>0</v>
      </c>
      <c r="P29" s="95">
        <f>Φύλλο1!G31</f>
        <v>0</v>
      </c>
      <c r="Q29" s="95">
        <f>Φύλλο1!H31</f>
        <v>0</v>
      </c>
      <c r="R29" s="95">
        <f>Φύλλο1!I31</f>
        <v>0</v>
      </c>
      <c r="S29" s="95">
        <f>SUM(L29:N29)</f>
        <v>0</v>
      </c>
    </row>
    <row r="30" spans="2:21" ht="13.5" thickBot="1" x14ac:dyDescent="0.25">
      <c r="B30" s="85">
        <f>'Γκρουπ Δ'!B22</f>
        <v>41814</v>
      </c>
      <c r="C30" s="72">
        <f>'Γκρουπ Δ'!C22</f>
        <v>0.79166666666666663</v>
      </c>
      <c r="D30" s="73" t="str">
        <f>'Γκρουπ Δ'!D22</f>
        <v>Μπέλο Οριζόντε</v>
      </c>
      <c r="E30" s="74" t="str">
        <f ca="1">'Γκρουπ Δ'!E22</f>
        <v>Proximamente..</v>
      </c>
      <c r="F30" s="75" t="str">
        <f>'Γκρουπ Δ'!F22</f>
        <v>Κόστα Ρίκα</v>
      </c>
      <c r="G30" s="90" t="str">
        <f>IF('Γκρουπ Δ'!G22="","",'Γκρουπ Δ'!G22)</f>
        <v/>
      </c>
      <c r="H30" s="86" t="str">
        <f>'Γκρουπ Δ'!H22</f>
        <v>Αγγλία</v>
      </c>
      <c r="I30" s="91" t="str">
        <f>IF('Γκρουπ Δ'!I22="","",'Γκρουπ Δ'!I22)</f>
        <v/>
      </c>
      <c r="J30" s="21"/>
    </row>
    <row r="31" spans="2:21" ht="14.25" thickTop="1" thickBot="1" x14ac:dyDescent="0.25">
      <c r="B31" s="68" t="str">
        <f>'Γκρουπ Ε'!B16</f>
        <v>Ημερ</v>
      </c>
      <c r="C31" s="69" t="str">
        <f>'Γκρουπ Ε'!C16</f>
        <v>Ώρα</v>
      </c>
      <c r="D31" s="70" t="str">
        <f>'Γκρουπ Ε'!D16</f>
        <v>Πόλη</v>
      </c>
      <c r="E31" s="70" t="str">
        <f>'Γκρουπ Ε'!E16</f>
        <v>Στάδιο</v>
      </c>
      <c r="F31" s="99" t="str">
        <f>'Γκρουπ Ε'!F16</f>
        <v>Αγώνας</v>
      </c>
      <c r="G31" s="99">
        <f>'Γκρουπ Ε'!G16</f>
        <v>0</v>
      </c>
      <c r="H31" s="99">
        <f>'Γκρουπ Ε'!H16</f>
        <v>0</v>
      </c>
      <c r="I31" s="99">
        <f>'Γκρουπ Ε'!I16</f>
        <v>0</v>
      </c>
      <c r="J31" s="22"/>
    </row>
    <row r="32" spans="2:21" ht="14.25" thickTop="1" thickBot="1" x14ac:dyDescent="0.25">
      <c r="B32" s="71">
        <f>'Γκρουπ Ε'!B17</f>
        <v>41805</v>
      </c>
      <c r="C32" s="72">
        <f>'Γκρουπ Ε'!C17</f>
        <v>0.79166666666666663</v>
      </c>
      <c r="D32" s="73" t="str">
        <f>'Γκρουπ Ε'!D17</f>
        <v>Μπραζίλια</v>
      </c>
      <c r="E32" s="74" t="str">
        <f ca="1">'Γκρουπ Ε'!E17</f>
        <v>Proximamente..</v>
      </c>
      <c r="F32" s="75" t="str">
        <f>'Γκρουπ Ε'!F17</f>
        <v>Ελβετία</v>
      </c>
      <c r="G32" s="90" t="str">
        <f>IF('Γκρουπ Ε'!G17="","",'Γκρουπ Ε'!G17)</f>
        <v/>
      </c>
      <c r="H32" s="86" t="str">
        <f>'Γκρουπ Ε'!H17</f>
        <v>Εκουαδόρ</v>
      </c>
      <c r="I32" s="91" t="str">
        <f>IF('Γκρουπ Ε'!I17="","",'Γκρουπ Ε'!I17)</f>
        <v/>
      </c>
      <c r="J32" s="21"/>
      <c r="K32" s="92" t="str">
        <f>Φύλλο1!B34</f>
        <v>Ομάδα</v>
      </c>
      <c r="L32" s="93" t="str">
        <f>Φύλλο1!C34</f>
        <v>Ν</v>
      </c>
      <c r="M32" s="93" t="str">
        <f>Φύλλο1!D34</f>
        <v>Ι</v>
      </c>
      <c r="N32" s="93" t="str">
        <f>Φύλλο1!E34</f>
        <v>Η</v>
      </c>
      <c r="O32" s="93" t="str">
        <f>Φύλλο1!F34</f>
        <v>ΓΥ</v>
      </c>
      <c r="P32" s="93" t="str">
        <f>Φύλλο1!G34</f>
        <v>ΓΚ</v>
      </c>
      <c r="Q32" s="93" t="str">
        <f>Φύλλο1!H34</f>
        <v>Δ</v>
      </c>
      <c r="R32" s="93" t="str">
        <f>Φύλλο1!I34</f>
        <v>ΒΑΘ.</v>
      </c>
      <c r="S32" s="93" t="s">
        <v>2</v>
      </c>
      <c r="U32" s="18" t="s">
        <v>3</v>
      </c>
    </row>
    <row r="33" spans="2:21" ht="13.5" thickBot="1" x14ac:dyDescent="0.25">
      <c r="B33" s="76">
        <f>'Γκρουπ Ε'!B18</f>
        <v>41805</v>
      </c>
      <c r="C33" s="72">
        <f>'Γκρουπ Ε'!C18</f>
        <v>0.91666666666666663</v>
      </c>
      <c r="D33" s="73" t="str">
        <f>'Γκρουπ Ε'!D18</f>
        <v>Πόρτο Αλέγκρε</v>
      </c>
      <c r="E33" s="77" t="str">
        <f ca="1">'Γκρουπ Ε'!E18</f>
        <v>Proximamente..</v>
      </c>
      <c r="F33" s="75" t="str">
        <f>'Γκρουπ Ε'!F18</f>
        <v>Γαλλία</v>
      </c>
      <c r="G33" s="90" t="str">
        <f>IF('Γκρουπ Ε'!G18="","",'Γκρουπ Ε'!G18)</f>
        <v/>
      </c>
      <c r="H33" s="87" t="str">
        <f>'Γκρουπ Ε'!H18</f>
        <v>Ονδούρα</v>
      </c>
      <c r="I33" s="91" t="str">
        <f>IF('Γκρουπ Ε'!I18="","",'Γκρουπ Ε'!I18)</f>
        <v/>
      </c>
      <c r="J33" s="21"/>
      <c r="K33" s="94" t="str">
        <f>Φύλλο1!B35</f>
        <v>Ελβετία</v>
      </c>
      <c r="L33" s="94">
        <f>Φύλλο1!C35</f>
        <v>0</v>
      </c>
      <c r="M33" s="94">
        <f>Φύλλο1!D35</f>
        <v>0</v>
      </c>
      <c r="N33" s="94">
        <f>Φύλλο1!E35</f>
        <v>0</v>
      </c>
      <c r="O33" s="94">
        <f>Φύλλο1!F35</f>
        <v>0</v>
      </c>
      <c r="P33" s="94">
        <f>Φύλλο1!G35</f>
        <v>0</v>
      </c>
      <c r="Q33" s="94">
        <f>Φύλλο1!H35</f>
        <v>0</v>
      </c>
      <c r="R33" s="94">
        <f>Φύλλο1!I35</f>
        <v>0</v>
      </c>
      <c r="S33" s="94">
        <f>SUM(L33:N33)</f>
        <v>0</v>
      </c>
      <c r="U33" s="18" t="str">
        <f>K33</f>
        <v>Ελβετία</v>
      </c>
    </row>
    <row r="34" spans="2:21" ht="13.5" thickTop="1" x14ac:dyDescent="0.2">
      <c r="B34" s="78">
        <f>'Γκρουπ Ε'!B19</f>
        <v>41810</v>
      </c>
      <c r="C34" s="79">
        <f>'Γκρουπ Ε'!C19</f>
        <v>0.95833333333333337</v>
      </c>
      <c r="D34" s="80" t="str">
        <f>'Γκρουπ Ε'!D19</f>
        <v>Σαλβαδόρ</v>
      </c>
      <c r="E34" s="74" t="str">
        <f ca="1">'Γκρουπ Ε'!E19</f>
        <v>Proximamente..</v>
      </c>
      <c r="F34" s="81" t="str">
        <f>'Γκρουπ Ε'!F19</f>
        <v>Ελβετία</v>
      </c>
      <c r="G34" s="90" t="str">
        <f>IF('Γκρουπ Ε'!G19="","",'Γκρουπ Ε'!G19)</f>
        <v/>
      </c>
      <c r="H34" s="86" t="str">
        <f>'Γκρουπ Ε'!H19</f>
        <v>Γαλλία</v>
      </c>
      <c r="I34" s="91" t="str">
        <f>IF('Γκρουπ Ε'!I19="","",'Γκρουπ Ε'!I19)</f>
        <v/>
      </c>
      <c r="J34" s="21"/>
      <c r="K34" s="94" t="str">
        <f>Φύλλο1!B36</f>
        <v>Εκουαδόρ</v>
      </c>
      <c r="L34" s="94">
        <f>Φύλλο1!C36</f>
        <v>0</v>
      </c>
      <c r="M34" s="94">
        <f>Φύλλο1!D36</f>
        <v>0</v>
      </c>
      <c r="N34" s="94">
        <f>Φύλλο1!E36</f>
        <v>0</v>
      </c>
      <c r="O34" s="94">
        <f>Φύλλο1!F36</f>
        <v>0</v>
      </c>
      <c r="P34" s="94">
        <f>Φύλλο1!G36</f>
        <v>0</v>
      </c>
      <c r="Q34" s="94">
        <f>Φύλλο1!H36</f>
        <v>0</v>
      </c>
      <c r="R34" s="94">
        <f>Φύλλο1!I36</f>
        <v>0</v>
      </c>
      <c r="S34" s="94">
        <f>SUM(L34:N34)</f>
        <v>0</v>
      </c>
      <c r="U34" s="18" t="str">
        <f>K34</f>
        <v>Εκουαδόρ</v>
      </c>
    </row>
    <row r="35" spans="2:21" ht="13.5" thickBot="1" x14ac:dyDescent="0.25">
      <c r="B35" s="76">
        <f>'Γκρουπ Ε'!B20</f>
        <v>41811</v>
      </c>
      <c r="C35" s="82">
        <f>'Γκρουπ Ε'!C20</f>
        <v>4.1666666666666664E-2</v>
      </c>
      <c r="D35" s="83" t="str">
        <f>'Γκρουπ Ε'!D20</f>
        <v>Κουριτίμπα</v>
      </c>
      <c r="E35" s="77" t="str">
        <f ca="1">'Γκρουπ Ε'!E20</f>
        <v>Proximamente..</v>
      </c>
      <c r="F35" s="84" t="str">
        <f>'Γκρουπ Ε'!F20</f>
        <v>Ονδούρα</v>
      </c>
      <c r="G35" s="90" t="str">
        <f>IF('Γκρουπ Ε'!G20="","",'Γκρουπ Ε'!G20)</f>
        <v/>
      </c>
      <c r="H35" s="87" t="str">
        <f>'Γκρουπ Ε'!H20</f>
        <v>Εκουαδόρ</v>
      </c>
      <c r="I35" s="91" t="str">
        <f>IF('Γκρουπ Ε'!I20="","",'Γκρουπ Ε'!I20)</f>
        <v/>
      </c>
      <c r="J35" s="21"/>
      <c r="K35" s="94" t="str">
        <f>Φύλλο1!B37</f>
        <v>Γαλλία</v>
      </c>
      <c r="L35" s="94">
        <f>Φύλλο1!C37</f>
        <v>0</v>
      </c>
      <c r="M35" s="94">
        <f>Φύλλο1!D37</f>
        <v>0</v>
      </c>
      <c r="N35" s="94">
        <f>Φύλλο1!E37</f>
        <v>0</v>
      </c>
      <c r="O35" s="94">
        <f>Φύλλο1!F37</f>
        <v>0</v>
      </c>
      <c r="P35" s="94">
        <f>Φύλλο1!G37</f>
        <v>0</v>
      </c>
      <c r="Q35" s="94">
        <f>Φύλλο1!H37</f>
        <v>0</v>
      </c>
      <c r="R35" s="94">
        <f>Φύλλο1!I37</f>
        <v>0</v>
      </c>
      <c r="S35" s="94">
        <f>SUM(L35:N35)</f>
        <v>0</v>
      </c>
    </row>
    <row r="36" spans="2:21" ht="14.25" thickTop="1" thickBot="1" x14ac:dyDescent="0.25">
      <c r="B36" s="85">
        <f>'Γκρουπ Ε'!B21</f>
        <v>41815</v>
      </c>
      <c r="C36" s="72">
        <f>'Γκρουπ Ε'!C21</f>
        <v>0.79166666666666663</v>
      </c>
      <c r="D36" s="73" t="str">
        <f>'Γκρουπ Ε'!D21</f>
        <v>Μανάους</v>
      </c>
      <c r="E36" s="74" t="str">
        <f ca="1">'Γκρουπ Ε'!E21</f>
        <v>Proximamente..</v>
      </c>
      <c r="F36" s="75" t="str">
        <f>'Γκρουπ Ε'!F21</f>
        <v>Ονδούρα</v>
      </c>
      <c r="G36" s="90" t="str">
        <f>IF('Γκρουπ Ε'!G21="","",'Γκρουπ Ε'!G21)</f>
        <v/>
      </c>
      <c r="H36" s="86" t="str">
        <f>'Γκρουπ Ε'!H21</f>
        <v>Ελβετία</v>
      </c>
      <c r="I36" s="91" t="str">
        <f>IF('Γκρουπ Ε'!I21="","",'Γκρουπ Ε'!I21)</f>
        <v/>
      </c>
      <c r="J36" s="21"/>
      <c r="K36" s="95" t="str">
        <f>Φύλλο1!B38</f>
        <v>Ονδούρα</v>
      </c>
      <c r="L36" s="95">
        <f>Φύλλο1!C38</f>
        <v>0</v>
      </c>
      <c r="M36" s="95">
        <f>Φύλλο1!D38</f>
        <v>0</v>
      </c>
      <c r="N36" s="95">
        <f>Φύλλο1!E38</f>
        <v>0</v>
      </c>
      <c r="O36" s="95">
        <f>Φύλλο1!F38</f>
        <v>0</v>
      </c>
      <c r="P36" s="95">
        <f>Φύλλο1!G38</f>
        <v>0</v>
      </c>
      <c r="Q36" s="95">
        <f>Φύλλο1!H38</f>
        <v>0</v>
      </c>
      <c r="R36" s="95">
        <f>Φύλλο1!I38</f>
        <v>0</v>
      </c>
      <c r="S36" s="95">
        <f>SUM(L36:N36)</f>
        <v>0</v>
      </c>
    </row>
    <row r="37" spans="2:21" ht="13.5" thickBot="1" x14ac:dyDescent="0.25">
      <c r="B37" s="85">
        <f>'Γκρουπ Ε'!B22</f>
        <v>41815</v>
      </c>
      <c r="C37" s="72">
        <f>'Γκρουπ Ε'!C22</f>
        <v>0.79166666666666663</v>
      </c>
      <c r="D37" s="73" t="str">
        <f>'Γκρουπ Ε'!D22</f>
        <v>Ρίο Ντε Τζανέιρο</v>
      </c>
      <c r="E37" s="74" t="str">
        <f ca="1">'Γκρουπ Ε'!E22</f>
        <v>Proximamente..</v>
      </c>
      <c r="F37" s="75" t="str">
        <f>'Γκρουπ Ε'!F22</f>
        <v>Εκουαδόρ</v>
      </c>
      <c r="G37" s="90" t="str">
        <f>IF('Γκρουπ Ε'!G22="","",'Γκρουπ Ε'!G22)</f>
        <v/>
      </c>
      <c r="H37" s="86" t="str">
        <f>'Γκρουπ Ε'!H22</f>
        <v>Γαλλία</v>
      </c>
      <c r="I37" s="91" t="str">
        <f>IF('Γκρουπ Ε'!I22="","",'Γκρουπ Ε'!I22)</f>
        <v/>
      </c>
      <c r="J37" s="21"/>
    </row>
    <row r="38" spans="2:21" ht="14.25" thickTop="1" thickBot="1" x14ac:dyDescent="0.25">
      <c r="B38" s="68" t="str">
        <f>'Γκρουπ ΣΤ'!B16</f>
        <v>Ημερ</v>
      </c>
      <c r="C38" s="69" t="str">
        <f>'Γκρουπ ΣΤ'!C16</f>
        <v>Ώρα</v>
      </c>
      <c r="D38" s="70" t="str">
        <f>'Γκρουπ ΣΤ'!D16</f>
        <v>Πόλη</v>
      </c>
      <c r="E38" s="70" t="str">
        <f>'Γκρουπ ΣΤ'!E16</f>
        <v>Στάδιο</v>
      </c>
      <c r="F38" s="99" t="str">
        <f>'Γκρουπ ΣΤ'!F16</f>
        <v>Αγώνας</v>
      </c>
      <c r="G38" s="99">
        <f>'Γκρουπ ΣΤ'!G16</f>
        <v>0</v>
      </c>
      <c r="H38" s="99">
        <f>'Γκρουπ ΣΤ'!H16</f>
        <v>0</v>
      </c>
      <c r="I38" s="99">
        <f>'Γκρουπ ΣΤ'!I16</f>
        <v>0</v>
      </c>
      <c r="J38" s="22"/>
    </row>
    <row r="39" spans="2:21" ht="14.25" thickTop="1" thickBot="1" x14ac:dyDescent="0.25">
      <c r="B39" s="71">
        <f>'Γκρουπ ΣΤ'!B17</f>
        <v>41806</v>
      </c>
      <c r="C39" s="72">
        <f>'Γκρουπ ΣΤ'!C17</f>
        <v>4.1666666666666664E-2</v>
      </c>
      <c r="D39" s="73" t="str">
        <f>'Γκρουπ ΣΤ'!D17</f>
        <v>Ρίο Ντε Τζανέιρο</v>
      </c>
      <c r="E39" s="74" t="str">
        <f ca="1">'Γκρουπ ΣΤ'!E17</f>
        <v>Proximamente..</v>
      </c>
      <c r="F39" s="75" t="str">
        <f>'Γκρουπ ΣΤ'!F17</f>
        <v>Αργεντινή</v>
      </c>
      <c r="G39" s="90" t="str">
        <f>IF('Γκρουπ ΣΤ'!G17="","",'Γκρουπ ΣΤ'!G17)</f>
        <v/>
      </c>
      <c r="H39" s="86" t="str">
        <f>'Γκρουπ ΣΤ'!H17</f>
        <v>Βοσνία-Ερζεγοβίνη</v>
      </c>
      <c r="I39" s="91" t="str">
        <f>IF('Γκρουπ ΣΤ'!I17="","",'Γκρουπ ΣΤ'!I17)</f>
        <v/>
      </c>
      <c r="J39" s="21"/>
      <c r="K39" s="92" t="str">
        <f>Φύλλο1!B41</f>
        <v>Ομάδα</v>
      </c>
      <c r="L39" s="93" t="str">
        <f>Φύλλο1!C41</f>
        <v>Ν</v>
      </c>
      <c r="M39" s="93" t="str">
        <f>Φύλλο1!D41</f>
        <v>Ι</v>
      </c>
      <c r="N39" s="93" t="str">
        <f>Φύλλο1!E41</f>
        <v>Η</v>
      </c>
      <c r="O39" s="93" t="str">
        <f>Φύλλο1!F41</f>
        <v>ΓΥ</v>
      </c>
      <c r="P39" s="93" t="str">
        <f>Φύλλο1!G41</f>
        <v>ΓΚ</v>
      </c>
      <c r="Q39" s="93" t="str">
        <f>Φύλλο1!H41</f>
        <v>Δ</v>
      </c>
      <c r="R39" s="93" t="str">
        <f>Φύλλο1!I41</f>
        <v>ΒΑΘ.</v>
      </c>
      <c r="S39" s="93" t="s">
        <v>2</v>
      </c>
      <c r="U39" s="18" t="s">
        <v>3</v>
      </c>
    </row>
    <row r="40" spans="2:21" ht="13.5" thickBot="1" x14ac:dyDescent="0.25">
      <c r="B40" s="76">
        <f>'Γκρουπ ΣΤ'!B18</f>
        <v>41806</v>
      </c>
      <c r="C40" s="72">
        <f>'Γκρουπ ΣΤ'!C18</f>
        <v>0.91666666666666663</v>
      </c>
      <c r="D40" s="73" t="str">
        <f>'Γκρουπ ΣΤ'!D18</f>
        <v>Κουριτίμπα</v>
      </c>
      <c r="E40" s="77" t="str">
        <f ca="1">'Γκρουπ ΣΤ'!E18</f>
        <v>Proximamente..</v>
      </c>
      <c r="F40" s="75" t="str">
        <f>'Γκρουπ ΣΤ'!F18</f>
        <v>Ιράν</v>
      </c>
      <c r="G40" s="90" t="str">
        <f>IF('Γκρουπ ΣΤ'!G18="","",'Γκρουπ ΣΤ'!G18)</f>
        <v/>
      </c>
      <c r="H40" s="87" t="str">
        <f>'Γκρουπ ΣΤ'!H18</f>
        <v>Νιγηρία</v>
      </c>
      <c r="I40" s="91" t="str">
        <f>IF('Γκρουπ ΣΤ'!I18="","",'Γκρουπ ΣΤ'!I18)</f>
        <v/>
      </c>
      <c r="J40" s="21"/>
      <c r="K40" s="94" t="str">
        <f>Φύλλο1!B42</f>
        <v>Αργεντινή</v>
      </c>
      <c r="L40" s="94">
        <f>Φύλλο1!C42</f>
        <v>0</v>
      </c>
      <c r="M40" s="94">
        <f>Φύλλο1!D42</f>
        <v>0</v>
      </c>
      <c r="N40" s="94">
        <f>Φύλλο1!E42</f>
        <v>0</v>
      </c>
      <c r="O40" s="94">
        <f>Φύλλο1!F42</f>
        <v>0</v>
      </c>
      <c r="P40" s="94">
        <f>Φύλλο1!G42</f>
        <v>0</v>
      </c>
      <c r="Q40" s="94">
        <f>Φύλλο1!H42</f>
        <v>0</v>
      </c>
      <c r="R40" s="94">
        <f>Φύλλο1!I42</f>
        <v>0</v>
      </c>
      <c r="S40" s="94">
        <f>SUM(L40:N40)</f>
        <v>0</v>
      </c>
      <c r="U40" s="18" t="str">
        <f>K40</f>
        <v>Αργεντινή</v>
      </c>
    </row>
    <row r="41" spans="2:21" ht="13.5" thickTop="1" x14ac:dyDescent="0.2">
      <c r="B41" s="78">
        <f>'Γκρουπ ΣΤ'!B19</f>
        <v>41811</v>
      </c>
      <c r="C41" s="79">
        <f>'Γκρουπ ΣΤ'!C19</f>
        <v>0.79166666666666663</v>
      </c>
      <c r="D41" s="80" t="str">
        <f>'Γκρουπ ΣΤ'!D19</f>
        <v>Μπέλο Οριζόντε</v>
      </c>
      <c r="E41" s="74" t="str">
        <f ca="1">'Γκρουπ ΣΤ'!E19</f>
        <v>Proximamente..</v>
      </c>
      <c r="F41" s="81" t="str">
        <f>'Γκρουπ ΣΤ'!F19</f>
        <v>Αργεντινή</v>
      </c>
      <c r="G41" s="90" t="str">
        <f>IF('Γκρουπ ΣΤ'!G19="","",'Γκρουπ ΣΤ'!G19)</f>
        <v/>
      </c>
      <c r="H41" s="86" t="str">
        <f>'Γκρουπ ΣΤ'!H19</f>
        <v>Ιράν</v>
      </c>
      <c r="I41" s="91" t="str">
        <f>IF('Γκρουπ ΣΤ'!I19="","",'Γκρουπ ΣΤ'!I19)</f>
        <v/>
      </c>
      <c r="J41" s="21"/>
      <c r="K41" s="94" t="str">
        <f>Φύλλο1!B43</f>
        <v>Βοσνία-Ερζεγοβίνη</v>
      </c>
      <c r="L41" s="94">
        <f>Φύλλο1!C43</f>
        <v>0</v>
      </c>
      <c r="M41" s="94">
        <f>Φύλλο1!D43</f>
        <v>0</v>
      </c>
      <c r="N41" s="94">
        <f>Φύλλο1!E43</f>
        <v>0</v>
      </c>
      <c r="O41" s="94">
        <f>Φύλλο1!F43</f>
        <v>0</v>
      </c>
      <c r="P41" s="94">
        <f>Φύλλο1!G43</f>
        <v>0</v>
      </c>
      <c r="Q41" s="94">
        <f>Φύλλο1!H43</f>
        <v>0</v>
      </c>
      <c r="R41" s="94">
        <f>Φύλλο1!I43</f>
        <v>0</v>
      </c>
      <c r="S41" s="94">
        <f>SUM(L41:N41)</f>
        <v>0</v>
      </c>
      <c r="U41" s="18" t="str">
        <f>K41</f>
        <v>Βοσνία-Ερζεγοβίνη</v>
      </c>
    </row>
    <row r="42" spans="2:21" ht="13.5" thickBot="1" x14ac:dyDescent="0.25">
      <c r="B42" s="76">
        <f>'Γκρουπ ΣΤ'!B20</f>
        <v>41812</v>
      </c>
      <c r="C42" s="82">
        <f>'Γκρουπ ΣΤ'!C20</f>
        <v>4.1666666666666664E-2</v>
      </c>
      <c r="D42" s="83" t="str">
        <f>'Γκρουπ ΣΤ'!D20</f>
        <v>Κουιάμπα</v>
      </c>
      <c r="E42" s="77" t="str">
        <f ca="1">'Γκρουπ ΣΤ'!E20</f>
        <v>Proximamente..</v>
      </c>
      <c r="F42" s="84" t="str">
        <f>'Γκρουπ ΣΤ'!F20</f>
        <v>Νιγηρία</v>
      </c>
      <c r="G42" s="90" t="str">
        <f>IF('Γκρουπ ΣΤ'!G20="","",'Γκρουπ ΣΤ'!G20)</f>
        <v/>
      </c>
      <c r="H42" s="87" t="str">
        <f>'Γκρουπ ΣΤ'!H20</f>
        <v>Βοσνία-Ερζεγοβίνη</v>
      </c>
      <c r="I42" s="91" t="str">
        <f>IF('Γκρουπ ΣΤ'!I20="","",'Γκρουπ ΣΤ'!I20)</f>
        <v/>
      </c>
      <c r="J42" s="21"/>
      <c r="K42" s="94" t="str">
        <f>Φύλλο1!B44</f>
        <v>Ιράν</v>
      </c>
      <c r="L42" s="94">
        <f>Φύλλο1!C44</f>
        <v>0</v>
      </c>
      <c r="M42" s="94">
        <f>Φύλλο1!D44</f>
        <v>0</v>
      </c>
      <c r="N42" s="94">
        <f>Φύλλο1!E44</f>
        <v>0</v>
      </c>
      <c r="O42" s="94">
        <f>Φύλλο1!F44</f>
        <v>0</v>
      </c>
      <c r="P42" s="94">
        <f>Φύλλο1!G44</f>
        <v>0</v>
      </c>
      <c r="Q42" s="94">
        <f>Φύλλο1!H44</f>
        <v>0</v>
      </c>
      <c r="R42" s="94">
        <f>Φύλλο1!I44</f>
        <v>0</v>
      </c>
      <c r="S42" s="94">
        <f>SUM(L42:N42)</f>
        <v>0</v>
      </c>
    </row>
    <row r="43" spans="2:21" ht="14.25" thickTop="1" thickBot="1" x14ac:dyDescent="0.25">
      <c r="B43" s="85">
        <f>'Γκρουπ ΣΤ'!B21</f>
        <v>41815</v>
      </c>
      <c r="C43" s="72">
        <f>'Γκρουπ ΣΤ'!C21</f>
        <v>0.79166666666666663</v>
      </c>
      <c r="D43" s="73" t="str">
        <f>'Γκρουπ ΣΤ'!D21</f>
        <v>Πόρτο Αλέγκρε</v>
      </c>
      <c r="E43" s="74" t="str">
        <f ca="1">'Γκρουπ ΣΤ'!E21</f>
        <v>Proximamente..</v>
      </c>
      <c r="F43" s="75" t="str">
        <f>'Γκρουπ ΣΤ'!F21</f>
        <v>Νιγηρία</v>
      </c>
      <c r="G43" s="90" t="str">
        <f>IF('Γκρουπ ΣΤ'!G21="","",'Γκρουπ ΣΤ'!G21)</f>
        <v/>
      </c>
      <c r="H43" s="86" t="str">
        <f>'Γκρουπ ΣΤ'!H21</f>
        <v>Αργεντινή</v>
      </c>
      <c r="I43" s="91" t="str">
        <f>IF('Γκρουπ ΣΤ'!I21="","",'Γκρουπ ΣΤ'!I21)</f>
        <v/>
      </c>
      <c r="J43" s="21"/>
      <c r="K43" s="95" t="str">
        <f>Φύλλο1!B45</f>
        <v>Νιγηρία</v>
      </c>
      <c r="L43" s="95">
        <f>Φύλλο1!C45</f>
        <v>0</v>
      </c>
      <c r="M43" s="95">
        <f>Φύλλο1!D45</f>
        <v>0</v>
      </c>
      <c r="N43" s="95">
        <f>Φύλλο1!E45</f>
        <v>0</v>
      </c>
      <c r="O43" s="95">
        <f>Φύλλο1!F45</f>
        <v>0</v>
      </c>
      <c r="P43" s="95">
        <f>Φύλλο1!G45</f>
        <v>0</v>
      </c>
      <c r="Q43" s="95">
        <f>Φύλλο1!H45</f>
        <v>0</v>
      </c>
      <c r="R43" s="95">
        <f>Φύλλο1!I45</f>
        <v>0</v>
      </c>
      <c r="S43" s="95">
        <f>SUM(L43:N43)</f>
        <v>0</v>
      </c>
    </row>
    <row r="44" spans="2:21" ht="13.5" thickBot="1" x14ac:dyDescent="0.25">
      <c r="B44" s="85">
        <f>'Γκρουπ ΣΤ'!B22</f>
        <v>41815</v>
      </c>
      <c r="C44" s="72">
        <f>'Γκρουπ ΣΤ'!C22</f>
        <v>0.79166666666666663</v>
      </c>
      <c r="D44" s="73" t="str">
        <f>'Γκρουπ ΣΤ'!D22</f>
        <v>Σαλβαδόρ</v>
      </c>
      <c r="E44" s="74" t="str">
        <f ca="1">'Γκρουπ ΣΤ'!E22</f>
        <v>Proximamente..</v>
      </c>
      <c r="F44" s="75" t="str">
        <f>'Γκρουπ ΣΤ'!F22</f>
        <v>Βοσνία-Ερζεγοβίνη</v>
      </c>
      <c r="G44" s="90" t="str">
        <f>IF('Γκρουπ ΣΤ'!G22="","",'Γκρουπ ΣΤ'!G22)</f>
        <v/>
      </c>
      <c r="H44" s="86" t="str">
        <f>'Γκρουπ ΣΤ'!H22</f>
        <v>Ιράν</v>
      </c>
      <c r="I44" s="91" t="str">
        <f>IF('Γκρουπ ΣΤ'!I22="","",'Γκρουπ ΣΤ'!I22)</f>
        <v/>
      </c>
      <c r="J44" s="21"/>
    </row>
    <row r="45" spans="2:21" ht="14.25" thickTop="1" thickBot="1" x14ac:dyDescent="0.25">
      <c r="B45" s="68" t="str">
        <f>'Γκρουπ Ζ'!B16</f>
        <v>Ημερ</v>
      </c>
      <c r="C45" s="69" t="str">
        <f>'Γκρουπ Ζ'!C16</f>
        <v>Ώρα</v>
      </c>
      <c r="D45" s="70" t="str">
        <f>'Γκρουπ Ζ'!D16</f>
        <v>Πόλη</v>
      </c>
      <c r="E45" s="70" t="str">
        <f>'Γκρουπ Ζ'!E16</f>
        <v>Στάδιο</v>
      </c>
      <c r="F45" s="99" t="str">
        <f>'Γκρουπ Ζ'!F16</f>
        <v>Αγώνας</v>
      </c>
      <c r="G45" s="99">
        <f>'Γκρουπ Ζ'!G16</f>
        <v>0</v>
      </c>
      <c r="H45" s="99">
        <f>'Γκρουπ Ζ'!H16</f>
        <v>0</v>
      </c>
      <c r="I45" s="99">
        <f>'Γκρουπ Ζ'!I16</f>
        <v>0</v>
      </c>
      <c r="J45" s="22"/>
    </row>
    <row r="46" spans="2:21" ht="14.25" thickTop="1" thickBot="1" x14ac:dyDescent="0.25">
      <c r="B46" s="71">
        <f>'Γκρουπ Ζ'!B17</f>
        <v>41806</v>
      </c>
      <c r="C46" s="72">
        <f>'Γκρουπ Ζ'!C17</f>
        <v>0.83333333333333337</v>
      </c>
      <c r="D46" s="73" t="str">
        <f>'Γκρουπ Ζ'!D17</f>
        <v>Σαλβαδόρ</v>
      </c>
      <c r="E46" s="74" t="str">
        <f ca="1">'Γκρουπ Ζ'!E17</f>
        <v>Proximamente..</v>
      </c>
      <c r="F46" s="75" t="str">
        <f>'Γκρουπ Ζ'!F17</f>
        <v>Γερμανία</v>
      </c>
      <c r="G46" s="90" t="str">
        <f>IF('Γκρουπ Ζ'!G17="","",'Γκρουπ Ζ'!G17)</f>
        <v/>
      </c>
      <c r="H46" s="86" t="str">
        <f>'Γκρουπ Ζ'!H17</f>
        <v>Πορτογαλία</v>
      </c>
      <c r="I46" s="91" t="str">
        <f>IF('Γκρουπ Ζ'!I17="","",'Γκρουπ Ζ'!I17)</f>
        <v/>
      </c>
      <c r="J46" s="21"/>
      <c r="K46" s="92" t="str">
        <f>Φύλλο1!B48</f>
        <v>Ομάδα</v>
      </c>
      <c r="L46" s="93" t="str">
        <f>Φύλλο1!C48</f>
        <v>Ν</v>
      </c>
      <c r="M46" s="93" t="str">
        <f>Φύλλο1!D48</f>
        <v>Ι</v>
      </c>
      <c r="N46" s="93" t="str">
        <f>Φύλλο1!E48</f>
        <v>Η</v>
      </c>
      <c r="O46" s="93" t="str">
        <f>Φύλλο1!F48</f>
        <v>ΓΥ</v>
      </c>
      <c r="P46" s="93" t="str">
        <f>Φύλλο1!G48</f>
        <v>ΓΚ</v>
      </c>
      <c r="Q46" s="93" t="str">
        <f>Φύλλο1!H48</f>
        <v>Δ</v>
      </c>
      <c r="R46" s="93" t="str">
        <f>Φύλλο1!I48</f>
        <v>ΒΑΘ.</v>
      </c>
      <c r="S46" s="93" t="s">
        <v>2</v>
      </c>
      <c r="U46" s="18" t="s">
        <v>3</v>
      </c>
    </row>
    <row r="47" spans="2:21" ht="13.5" thickBot="1" x14ac:dyDescent="0.25">
      <c r="B47" s="76">
        <f>'Γκρουπ Ζ'!B18</f>
        <v>41807</v>
      </c>
      <c r="C47" s="72">
        <f>'Γκρουπ Ζ'!C18</f>
        <v>4.1666666666666664E-2</v>
      </c>
      <c r="D47" s="73" t="str">
        <f>'Γκρουπ Ζ'!D18</f>
        <v>Νατάλ</v>
      </c>
      <c r="E47" s="77" t="str">
        <f ca="1">'Γκρουπ Ζ'!E18</f>
        <v>Proximamente..</v>
      </c>
      <c r="F47" s="75" t="str">
        <f>'Γκρουπ Ζ'!F18</f>
        <v>Γκάνα</v>
      </c>
      <c r="G47" s="90" t="str">
        <f>IF('Γκρουπ Ζ'!G18="","",'Γκρουπ Ζ'!G18)</f>
        <v/>
      </c>
      <c r="H47" s="87" t="str">
        <f>'Γκρουπ Ζ'!H18</f>
        <v>ΗΠΑ</v>
      </c>
      <c r="I47" s="91" t="str">
        <f>IF('Γκρουπ Ζ'!I18="","",'Γκρουπ Ζ'!I18)</f>
        <v/>
      </c>
      <c r="J47" s="21"/>
      <c r="K47" s="94" t="str">
        <f>Φύλλο1!B49</f>
        <v>Γερμανία</v>
      </c>
      <c r="L47" s="94">
        <f>Φύλλο1!C49</f>
        <v>0</v>
      </c>
      <c r="M47" s="94">
        <f>Φύλλο1!D49</f>
        <v>0</v>
      </c>
      <c r="N47" s="94">
        <f>Φύλλο1!E49</f>
        <v>0</v>
      </c>
      <c r="O47" s="94">
        <f>Φύλλο1!F49</f>
        <v>0</v>
      </c>
      <c r="P47" s="94">
        <f>Φύλλο1!G49</f>
        <v>0</v>
      </c>
      <c r="Q47" s="94">
        <f>Φύλλο1!H49</f>
        <v>0</v>
      </c>
      <c r="R47" s="94">
        <f>Φύλλο1!I49</f>
        <v>0</v>
      </c>
      <c r="S47" s="94">
        <f>SUM(L47:N47)</f>
        <v>0</v>
      </c>
      <c r="U47" s="18" t="str">
        <f>K47</f>
        <v>Γερμανία</v>
      </c>
    </row>
    <row r="48" spans="2:21" ht="13.5" thickTop="1" x14ac:dyDescent="0.2">
      <c r="B48" s="78">
        <f>'Γκρουπ Ζ'!B19</f>
        <v>41811</v>
      </c>
      <c r="C48" s="79">
        <f>'Γκρουπ Ζ'!C19</f>
        <v>0.91666666666666663</v>
      </c>
      <c r="D48" s="80" t="str">
        <f>'Γκρουπ Ζ'!D19</f>
        <v>Φορταλέζα</v>
      </c>
      <c r="E48" s="74" t="str">
        <f ca="1">'Γκρουπ Ζ'!E19</f>
        <v>Proximamente..</v>
      </c>
      <c r="F48" s="81" t="str">
        <f>'Γκρουπ Ζ'!F19</f>
        <v>Γερμανία</v>
      </c>
      <c r="G48" s="90" t="str">
        <f>IF('Γκρουπ Ζ'!G19="","",'Γκρουπ Ζ'!G19)</f>
        <v/>
      </c>
      <c r="H48" s="86" t="str">
        <f>'Γκρουπ Ζ'!H19</f>
        <v>Γκάνα</v>
      </c>
      <c r="I48" s="91" t="str">
        <f>IF('Γκρουπ Ζ'!I19="","",'Γκρουπ Ζ'!I19)</f>
        <v/>
      </c>
      <c r="J48" s="21"/>
      <c r="K48" s="94" t="str">
        <f>Φύλλο1!B50</f>
        <v>Πορτογαλία</v>
      </c>
      <c r="L48" s="94">
        <f>Φύλλο1!C50</f>
        <v>0</v>
      </c>
      <c r="M48" s="94">
        <f>Φύλλο1!D50</f>
        <v>0</v>
      </c>
      <c r="N48" s="94">
        <f>Φύλλο1!E50</f>
        <v>0</v>
      </c>
      <c r="O48" s="94">
        <f>Φύλλο1!F50</f>
        <v>0</v>
      </c>
      <c r="P48" s="94">
        <f>Φύλλο1!G50</f>
        <v>0</v>
      </c>
      <c r="Q48" s="94">
        <f>Φύλλο1!H50</f>
        <v>0</v>
      </c>
      <c r="R48" s="94">
        <f>Φύλλο1!I50</f>
        <v>0</v>
      </c>
      <c r="S48" s="94">
        <f>SUM(L48:N48)</f>
        <v>0</v>
      </c>
      <c r="U48" s="18" t="str">
        <f>K48</f>
        <v>Πορτογαλία</v>
      </c>
    </row>
    <row r="49" spans="2:21" ht="13.5" thickBot="1" x14ac:dyDescent="0.25">
      <c r="B49" s="76">
        <f>'Γκρουπ Ζ'!B20</f>
        <v>41813</v>
      </c>
      <c r="C49" s="82">
        <f>'Γκρουπ Ζ'!C20</f>
        <v>4.1666666666666664E-2</v>
      </c>
      <c r="D49" s="83" t="str">
        <f>'Γκρουπ Ζ'!D20</f>
        <v>Μανάους</v>
      </c>
      <c r="E49" s="77" t="str">
        <f ca="1">'Γκρουπ Ζ'!E20</f>
        <v>Proximamente..</v>
      </c>
      <c r="F49" s="84" t="str">
        <f>'Γκρουπ Ζ'!F20</f>
        <v>ΗΠΑ</v>
      </c>
      <c r="G49" s="90" t="str">
        <f>IF('Γκρουπ Ζ'!G20="","",'Γκρουπ Ζ'!G20)</f>
        <v/>
      </c>
      <c r="H49" s="87" t="str">
        <f>'Γκρουπ Ζ'!H20</f>
        <v>Πορτογαλία</v>
      </c>
      <c r="I49" s="91" t="str">
        <f>IF('Γκρουπ Ζ'!I20="","",'Γκρουπ Ζ'!I20)</f>
        <v/>
      </c>
      <c r="J49" s="21"/>
      <c r="K49" s="94" t="str">
        <f>Φύλλο1!B51</f>
        <v>Γκάνα</v>
      </c>
      <c r="L49" s="94">
        <f>Φύλλο1!C51</f>
        <v>0</v>
      </c>
      <c r="M49" s="94">
        <f>Φύλλο1!D51</f>
        <v>0</v>
      </c>
      <c r="N49" s="94">
        <f>Φύλλο1!E51</f>
        <v>0</v>
      </c>
      <c r="O49" s="94">
        <f>Φύλλο1!F51</f>
        <v>0</v>
      </c>
      <c r="P49" s="94">
        <f>Φύλλο1!G51</f>
        <v>0</v>
      </c>
      <c r="Q49" s="94">
        <f>Φύλλο1!H51</f>
        <v>0</v>
      </c>
      <c r="R49" s="94">
        <f>Φύλλο1!I51</f>
        <v>0</v>
      </c>
      <c r="S49" s="94">
        <f>SUM(L49:N49)</f>
        <v>0</v>
      </c>
    </row>
    <row r="50" spans="2:21" ht="14.25" thickTop="1" thickBot="1" x14ac:dyDescent="0.25">
      <c r="B50" s="85">
        <f>'Γκρουπ Ζ'!B21</f>
        <v>41816</v>
      </c>
      <c r="C50" s="72">
        <f>'Γκρουπ Ζ'!C21</f>
        <v>0.79166666666666663</v>
      </c>
      <c r="D50" s="73" t="str">
        <f>'Γκρουπ Ζ'!D21</f>
        <v>Ρεσίφε</v>
      </c>
      <c r="E50" s="74" t="str">
        <f ca="1">'Γκρουπ Ζ'!E21</f>
        <v>Proximamente..</v>
      </c>
      <c r="F50" s="75" t="str">
        <f>'Γκρουπ Ζ'!F21</f>
        <v>ΗΠΑ</v>
      </c>
      <c r="G50" s="90" t="str">
        <f>IF('Γκρουπ Ζ'!G21="","",'Γκρουπ Ζ'!G21)</f>
        <v/>
      </c>
      <c r="H50" s="86" t="str">
        <f>'Γκρουπ Ζ'!H21</f>
        <v>Γερμανία</v>
      </c>
      <c r="I50" s="91" t="str">
        <f>IF('Γκρουπ Ζ'!I21="","",'Γκρουπ Ζ'!I21)</f>
        <v/>
      </c>
      <c r="J50" s="21"/>
      <c r="K50" s="95" t="str">
        <f>Φύλλο1!B52</f>
        <v>ΗΠΑ</v>
      </c>
      <c r="L50" s="95">
        <f>Φύλλο1!C52</f>
        <v>0</v>
      </c>
      <c r="M50" s="95">
        <f>Φύλλο1!D52</f>
        <v>0</v>
      </c>
      <c r="N50" s="95">
        <f>Φύλλο1!E52</f>
        <v>0</v>
      </c>
      <c r="O50" s="95">
        <f>Φύλλο1!F52</f>
        <v>0</v>
      </c>
      <c r="P50" s="95">
        <f>Φύλλο1!G52</f>
        <v>0</v>
      </c>
      <c r="Q50" s="95">
        <f>Φύλλο1!H52</f>
        <v>0</v>
      </c>
      <c r="R50" s="95">
        <f>Φύλλο1!I52</f>
        <v>0</v>
      </c>
      <c r="S50" s="95">
        <f>SUM(L50:N50)</f>
        <v>0</v>
      </c>
    </row>
    <row r="51" spans="2:21" ht="13.5" thickBot="1" x14ac:dyDescent="0.25">
      <c r="B51" s="85">
        <f>'Γκρουπ Ζ'!B22</f>
        <v>41816</v>
      </c>
      <c r="C51" s="72">
        <f>'Γκρουπ Ζ'!C22</f>
        <v>0.79166666666666663</v>
      </c>
      <c r="D51" s="73" t="str">
        <f>'Γκρουπ Ζ'!D22</f>
        <v>Μπραζίλια</v>
      </c>
      <c r="E51" s="74" t="str">
        <f ca="1">'Γκρουπ Ζ'!E22</f>
        <v>Proximamente..</v>
      </c>
      <c r="F51" s="75" t="str">
        <f>'Γκρουπ Ζ'!F22</f>
        <v>Πορτογαλία</v>
      </c>
      <c r="G51" s="90" t="str">
        <f>IF('Γκρουπ Ζ'!G22="","",'Γκρουπ Ζ'!G22)</f>
        <v/>
      </c>
      <c r="H51" s="86" t="str">
        <f>'Γκρουπ Ζ'!H22</f>
        <v>Γκάνα</v>
      </c>
      <c r="I51" s="91" t="str">
        <f>IF('Γκρουπ Ζ'!I22="","",'Γκρουπ Ζ'!I22)</f>
        <v/>
      </c>
      <c r="J51" s="21"/>
    </row>
    <row r="52" spans="2:21" ht="14.25" thickTop="1" thickBot="1" x14ac:dyDescent="0.25">
      <c r="B52" s="68" t="str">
        <f>'Γκρουπ Η'!B16</f>
        <v>Ημερ</v>
      </c>
      <c r="C52" s="69" t="str">
        <f>'Γκρουπ Η'!C16</f>
        <v>Ώρα</v>
      </c>
      <c r="D52" s="70" t="str">
        <f>'Γκρουπ Η'!D16</f>
        <v>Πόλη</v>
      </c>
      <c r="E52" s="70" t="str">
        <f>'Γκρουπ Η'!E16</f>
        <v>Στάδιο</v>
      </c>
      <c r="F52" s="99" t="str">
        <f>'Γκρουπ Η'!F16</f>
        <v>Αγώνας</v>
      </c>
      <c r="G52" s="99">
        <f>'Γκρουπ Η'!G16</f>
        <v>0</v>
      </c>
      <c r="H52" s="99">
        <f>'Γκρουπ Η'!H16</f>
        <v>0</v>
      </c>
      <c r="I52" s="99">
        <f>'Γκρουπ Η'!I16</f>
        <v>0</v>
      </c>
      <c r="J52" s="22"/>
    </row>
    <row r="53" spans="2:21" ht="14.25" thickTop="1" thickBot="1" x14ac:dyDescent="0.25">
      <c r="B53" s="71">
        <f>'Γκρουπ Η'!B17</f>
        <v>41807</v>
      </c>
      <c r="C53" s="72">
        <f>'Γκρουπ Η'!C17</f>
        <v>0.79166666666666663</v>
      </c>
      <c r="D53" s="73" t="str">
        <f>'Γκρουπ Η'!D17</f>
        <v>Μπέλο Οριζόντε</v>
      </c>
      <c r="E53" s="74" t="str">
        <f ca="1">'Γκρουπ Η'!E17</f>
        <v>Proximamente..</v>
      </c>
      <c r="F53" s="75" t="str">
        <f>'Γκρουπ Η'!F17</f>
        <v>Βέλγιο</v>
      </c>
      <c r="G53" s="90" t="str">
        <f>IF('Γκρουπ Η'!G17="","",'Γκρουπ Η'!G17)</f>
        <v/>
      </c>
      <c r="H53" s="86" t="str">
        <f>'Γκρουπ Η'!H17</f>
        <v>Αλγερία</v>
      </c>
      <c r="I53" s="91" t="str">
        <f>IF('Γκρουπ Η'!I17="","",'Γκρουπ Η'!I17)</f>
        <v/>
      </c>
      <c r="J53" s="21"/>
      <c r="K53" s="92" t="str">
        <f>Φύλλο1!B55</f>
        <v>Ομάδα</v>
      </c>
      <c r="L53" s="93" t="str">
        <f>Φύλλο1!C55</f>
        <v>Ν</v>
      </c>
      <c r="M53" s="93" t="str">
        <f>Φύλλο1!D55</f>
        <v>Ι</v>
      </c>
      <c r="N53" s="93" t="str">
        <f>Φύλλο1!E55</f>
        <v>Η</v>
      </c>
      <c r="O53" s="93" t="str">
        <f>Φύλλο1!F55</f>
        <v>ΓΥ</v>
      </c>
      <c r="P53" s="93" t="str">
        <f>Φύλλο1!G55</f>
        <v>ΓΚ</v>
      </c>
      <c r="Q53" s="93" t="str">
        <f>Φύλλο1!H55</f>
        <v>Δ</v>
      </c>
      <c r="R53" s="93" t="str">
        <f>Φύλλο1!I55</f>
        <v>ΒΑΘ.</v>
      </c>
      <c r="S53" s="93" t="s">
        <v>2</v>
      </c>
      <c r="U53" s="18" t="s">
        <v>3</v>
      </c>
    </row>
    <row r="54" spans="2:21" ht="13.5" thickBot="1" x14ac:dyDescent="0.25">
      <c r="B54" s="76">
        <f>'Γκρουπ Η'!B18</f>
        <v>41808</v>
      </c>
      <c r="C54" s="72">
        <f>'Γκρουπ Η'!C18</f>
        <v>4.1666666666666664E-2</v>
      </c>
      <c r="D54" s="73" t="str">
        <f>'Γκρουπ Η'!D18</f>
        <v>Κουιάμπα</v>
      </c>
      <c r="E54" s="77" t="str">
        <f ca="1">'Γκρουπ Η'!E18</f>
        <v>Proximamente..</v>
      </c>
      <c r="F54" s="75" t="str">
        <f>'Γκρουπ Η'!F18</f>
        <v>Ρωσία</v>
      </c>
      <c r="G54" s="90" t="str">
        <f>IF('Γκρουπ Η'!G18="","",'Γκρουπ Η'!G18)</f>
        <v/>
      </c>
      <c r="H54" s="87" t="str">
        <f>'Γκρουπ Η'!H18</f>
        <v>Νότια Κορέα</v>
      </c>
      <c r="I54" s="91" t="str">
        <f>IF('Γκρουπ Η'!I18="","",'Γκρουπ Η'!I18)</f>
        <v/>
      </c>
      <c r="J54" s="21"/>
      <c r="K54" s="94" t="str">
        <f>Φύλλο1!B56</f>
        <v>Βέλγιο</v>
      </c>
      <c r="L54" s="94">
        <f>Φύλλο1!C56</f>
        <v>0</v>
      </c>
      <c r="M54" s="94">
        <f>Φύλλο1!D56</f>
        <v>0</v>
      </c>
      <c r="N54" s="94">
        <f>Φύλλο1!E56</f>
        <v>0</v>
      </c>
      <c r="O54" s="94">
        <f>Φύλλο1!F56</f>
        <v>0</v>
      </c>
      <c r="P54" s="94">
        <f>Φύλλο1!G56</f>
        <v>0</v>
      </c>
      <c r="Q54" s="94">
        <f>Φύλλο1!H56</f>
        <v>0</v>
      </c>
      <c r="R54" s="94">
        <f>Φύλλο1!I56</f>
        <v>0</v>
      </c>
      <c r="S54" s="94">
        <f>SUM(L54:N54)</f>
        <v>0</v>
      </c>
      <c r="U54" s="18" t="str">
        <f>K54</f>
        <v>Βέλγιο</v>
      </c>
    </row>
    <row r="55" spans="2:21" ht="13.5" thickTop="1" x14ac:dyDescent="0.2">
      <c r="B55" s="78">
        <f>'Γκρουπ Η'!B19</f>
        <v>41812</v>
      </c>
      <c r="C55" s="79">
        <f>'Γκρουπ Η'!C19</f>
        <v>0.79166666666666663</v>
      </c>
      <c r="D55" s="80" t="str">
        <f>'Γκρουπ Η'!D19</f>
        <v>Ρίο Ντε Τζανέιρο</v>
      </c>
      <c r="E55" s="74" t="str">
        <f ca="1">'Γκρουπ Η'!E19</f>
        <v>Proximamente..</v>
      </c>
      <c r="F55" s="81" t="str">
        <f>'Γκρουπ Η'!F19</f>
        <v>Βέλγιο</v>
      </c>
      <c r="G55" s="90" t="str">
        <f>IF('Γκρουπ Η'!G19="","",'Γκρουπ Η'!G19)</f>
        <v/>
      </c>
      <c r="H55" s="86" t="str">
        <f>'Γκρουπ Η'!H19</f>
        <v>Ρωσία</v>
      </c>
      <c r="I55" s="91" t="str">
        <f>IF('Γκρουπ Η'!I19="","",'Γκρουπ Η'!I19)</f>
        <v/>
      </c>
      <c r="J55" s="21"/>
      <c r="K55" s="94" t="str">
        <f>Φύλλο1!B57</f>
        <v>Αλγερία</v>
      </c>
      <c r="L55" s="94">
        <f>Φύλλο1!C57</f>
        <v>0</v>
      </c>
      <c r="M55" s="94">
        <f>Φύλλο1!D57</f>
        <v>0</v>
      </c>
      <c r="N55" s="94">
        <f>Φύλλο1!E57</f>
        <v>0</v>
      </c>
      <c r="O55" s="94">
        <f>Φύλλο1!F57</f>
        <v>0</v>
      </c>
      <c r="P55" s="94">
        <f>Φύλλο1!G57</f>
        <v>0</v>
      </c>
      <c r="Q55" s="94">
        <f>Φύλλο1!H57</f>
        <v>0</v>
      </c>
      <c r="R55" s="94">
        <f>Φύλλο1!I57</f>
        <v>0</v>
      </c>
      <c r="S55" s="94">
        <f>SUM(L55:N55)</f>
        <v>0</v>
      </c>
      <c r="U55" s="18" t="str">
        <f>K55</f>
        <v>Αλγερία</v>
      </c>
    </row>
    <row r="56" spans="2:21" ht="13.5" thickBot="1" x14ac:dyDescent="0.25">
      <c r="B56" s="76">
        <f>'Γκρουπ Η'!B20</f>
        <v>41812</v>
      </c>
      <c r="C56" s="82">
        <f>'Γκρουπ Η'!C20</f>
        <v>0.91666666666666663</v>
      </c>
      <c r="D56" s="83" t="str">
        <f>'Γκρουπ Η'!D20</f>
        <v>Πόρτο Αλέγκρε</v>
      </c>
      <c r="E56" s="77" t="str">
        <f ca="1">'Γκρουπ Η'!E20</f>
        <v>Proximamente..</v>
      </c>
      <c r="F56" s="84" t="str">
        <f>'Γκρουπ Η'!F20</f>
        <v>Νότια Κορέα</v>
      </c>
      <c r="G56" s="90" t="str">
        <f>IF('Γκρουπ Η'!G20="","",'Γκρουπ Η'!G20)</f>
        <v/>
      </c>
      <c r="H56" s="87" t="str">
        <f>'Γκρουπ Η'!H20</f>
        <v>Αλγερία</v>
      </c>
      <c r="I56" s="91" t="str">
        <f>IF('Γκρουπ Η'!I20="","",'Γκρουπ Η'!I20)</f>
        <v/>
      </c>
      <c r="J56" s="21"/>
      <c r="K56" s="94" t="str">
        <f>Φύλλο1!B58</f>
        <v>Ρωσία</v>
      </c>
      <c r="L56" s="94">
        <f>Φύλλο1!C58</f>
        <v>0</v>
      </c>
      <c r="M56" s="94">
        <f>Φύλλο1!D58</f>
        <v>0</v>
      </c>
      <c r="N56" s="94">
        <f>Φύλλο1!E58</f>
        <v>0</v>
      </c>
      <c r="O56" s="94">
        <f>Φύλλο1!F58</f>
        <v>0</v>
      </c>
      <c r="P56" s="94">
        <f>Φύλλο1!G58</f>
        <v>0</v>
      </c>
      <c r="Q56" s="94">
        <f>Φύλλο1!H58</f>
        <v>0</v>
      </c>
      <c r="R56" s="94">
        <f>Φύλλο1!I58</f>
        <v>0</v>
      </c>
      <c r="S56" s="94">
        <f>SUM(L56:N56)</f>
        <v>0</v>
      </c>
    </row>
    <row r="57" spans="2:21" ht="14.25" thickTop="1" thickBot="1" x14ac:dyDescent="0.25">
      <c r="B57" s="85">
        <f>'Γκρουπ Η'!B21</f>
        <v>41816</v>
      </c>
      <c r="C57" s="72">
        <f>'Γκρουπ Η'!C21</f>
        <v>0.95833333333333337</v>
      </c>
      <c r="D57" s="73" t="str">
        <f>'Γκρουπ Η'!D21</f>
        <v>Σάο Πάολο</v>
      </c>
      <c r="E57" s="74" t="str">
        <f ca="1">'Γκρουπ Η'!E21</f>
        <v>Proximamente..</v>
      </c>
      <c r="F57" s="75" t="str">
        <f>'Γκρουπ Η'!F21</f>
        <v>Νότια Κορέα</v>
      </c>
      <c r="G57" s="90" t="str">
        <f>IF('Γκρουπ Η'!G21="","",'Γκρουπ Η'!G21)</f>
        <v/>
      </c>
      <c r="H57" s="86" t="str">
        <f>'Γκρουπ Η'!H21</f>
        <v>Βέλγιο</v>
      </c>
      <c r="I57" s="91" t="str">
        <f>IF('Γκρουπ Η'!I21="","",'Γκρουπ Η'!I21)</f>
        <v/>
      </c>
      <c r="J57" s="21"/>
      <c r="K57" s="95" t="str">
        <f>Φύλλο1!B59</f>
        <v>Νότια Κορέα</v>
      </c>
      <c r="L57" s="95">
        <f>Φύλλο1!C59</f>
        <v>0</v>
      </c>
      <c r="M57" s="95">
        <f>Φύλλο1!D59</f>
        <v>0</v>
      </c>
      <c r="N57" s="95">
        <f>Φύλλο1!E59</f>
        <v>0</v>
      </c>
      <c r="O57" s="95">
        <f>Φύλλο1!F59</f>
        <v>0</v>
      </c>
      <c r="P57" s="95">
        <f>Φύλλο1!G59</f>
        <v>0</v>
      </c>
      <c r="Q57" s="95">
        <f>Φύλλο1!H59</f>
        <v>0</v>
      </c>
      <c r="R57" s="95">
        <f>Φύλλο1!I59</f>
        <v>0</v>
      </c>
      <c r="S57" s="95">
        <f>SUM(L57:N57)</f>
        <v>0</v>
      </c>
    </row>
    <row r="58" spans="2:21" x14ac:dyDescent="0.2">
      <c r="B58" s="85">
        <f>'Γκρουπ Η'!B22</f>
        <v>41816</v>
      </c>
      <c r="C58" s="72">
        <f>'Γκρουπ Η'!C22</f>
        <v>0.95833333333333337</v>
      </c>
      <c r="D58" s="73" t="str">
        <f>'Γκρουπ Η'!D22</f>
        <v>Κουριτίμπα</v>
      </c>
      <c r="E58" s="74" t="str">
        <f ca="1">'Γκρουπ Η'!E22</f>
        <v>Proximamente..</v>
      </c>
      <c r="F58" s="75" t="str">
        <f>'Γκρουπ Η'!F22</f>
        <v>Αλγερία</v>
      </c>
      <c r="G58" s="90" t="str">
        <f>IF('Γκρουπ Η'!G22="","",'Γκρουπ Η'!G22)</f>
        <v/>
      </c>
      <c r="H58" s="86" t="str">
        <f>'Γκρουπ Η'!H22</f>
        <v>Ρωσία</v>
      </c>
      <c r="I58" s="91" t="str">
        <f>IF('Γκρουπ Η'!I22="","",'Γκρουπ Η'!I22)</f>
        <v/>
      </c>
      <c r="J58" s="21"/>
    </row>
    <row r="62" spans="2:21" x14ac:dyDescent="0.2">
      <c r="C62" s="18" t="str">
        <f>IF('Γκρουπ Α'!G17="","",'Γκρουπ Α'!G17)</f>
        <v/>
      </c>
    </row>
  </sheetData>
  <sheetProtection selectLockedCells="1" selectUnlockedCells="1"/>
  <customSheetViews>
    <customSheetView guid="{95E402C5-2143-4FCF-AAA0-B9B99670355B}" hiddenColumns="1">
      <selection activeCell="C1" sqref="C1"/>
      <pageMargins left="0.74791666666666667" right="0.74791666666666667" top="0.98402777777777772" bottom="0.98402777777777772" header="0.51180555555555551" footer="0.51180555555555551"/>
      <pageSetup paperSize="9" firstPageNumber="0" orientation="portrait" horizontalDpi="300" verticalDpi="300"/>
      <headerFooter alignWithMargins="0"/>
    </customSheetView>
  </customSheetViews>
  <mergeCells count="8">
    <mergeCell ref="F45:I45"/>
    <mergeCell ref="F52:I52"/>
    <mergeCell ref="F3:I3"/>
    <mergeCell ref="F10:I10"/>
    <mergeCell ref="F17:I17"/>
    <mergeCell ref="F24:I24"/>
    <mergeCell ref="F31:I31"/>
    <mergeCell ref="F38:I38"/>
  </mergeCells>
  <conditionalFormatting sqref="E4:E9">
    <cfRule type="cellIs" dxfId="15" priority="8" stopIfTrue="1" operator="equal">
      <formula>"HOY!"</formula>
    </cfRule>
  </conditionalFormatting>
  <conditionalFormatting sqref="E11:E16">
    <cfRule type="cellIs" dxfId="14" priority="7" stopIfTrue="1" operator="equal">
      <formula>"HOY!"</formula>
    </cfRule>
  </conditionalFormatting>
  <conditionalFormatting sqref="E18:E23">
    <cfRule type="cellIs" dxfId="13" priority="6" stopIfTrue="1" operator="equal">
      <formula>"HOY!"</formula>
    </cfRule>
  </conditionalFormatting>
  <conditionalFormatting sqref="E25:E30">
    <cfRule type="cellIs" dxfId="12" priority="5" stopIfTrue="1" operator="equal">
      <formula>"HOY!"</formula>
    </cfRule>
  </conditionalFormatting>
  <conditionalFormatting sqref="E32:E37">
    <cfRule type="cellIs" dxfId="11" priority="4" stopIfTrue="1" operator="equal">
      <formula>"HOY!"</formula>
    </cfRule>
  </conditionalFormatting>
  <conditionalFormatting sqref="E39:E44">
    <cfRule type="cellIs" dxfId="10" priority="3" stopIfTrue="1" operator="equal">
      <formula>"HOY!"</formula>
    </cfRule>
  </conditionalFormatting>
  <conditionalFormatting sqref="E46:E51">
    <cfRule type="cellIs" dxfId="9" priority="2" stopIfTrue="1" operator="equal">
      <formula>"HOY!"</formula>
    </cfRule>
  </conditionalFormatting>
  <conditionalFormatting sqref="E53:E58">
    <cfRule type="cellIs" dxfId="8" priority="1" stopIfTrue="1" operator="equal">
      <formula>"HOY!"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picture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P59"/>
  <sheetViews>
    <sheetView tabSelected="1" zoomScale="85" zoomScaleNormal="85" workbookViewId="0">
      <selection activeCell="N28" sqref="N28"/>
    </sheetView>
  </sheetViews>
  <sheetFormatPr defaultColWidth="11.42578125" defaultRowHeight="12.75" x14ac:dyDescent="0.2"/>
  <cols>
    <col min="1" max="1" width="7.7109375" style="18" customWidth="1"/>
    <col min="2" max="2" width="34.42578125" style="18" customWidth="1"/>
    <col min="3" max="3" width="3.28515625" style="18" customWidth="1"/>
    <col min="4" max="4" width="3.42578125" style="18" customWidth="1"/>
    <col min="5" max="5" width="32.7109375" style="18" customWidth="1"/>
    <col min="6" max="6" width="3.7109375" style="18" customWidth="1"/>
    <col min="7" max="7" width="3.42578125" style="18" customWidth="1"/>
    <col min="8" max="8" width="29.42578125" style="18" customWidth="1"/>
    <col min="9" max="9" width="3.42578125" style="18" customWidth="1"/>
    <col min="10" max="10" width="3.5703125" style="18" customWidth="1"/>
    <col min="11" max="11" width="34.42578125" style="18" customWidth="1"/>
    <col min="12" max="12" width="3.7109375" style="18" customWidth="1"/>
    <col min="13" max="13" width="3.5703125" style="18" customWidth="1"/>
    <col min="14" max="14" width="34.28515625" style="18" customWidth="1"/>
    <col min="15" max="16384" width="11.42578125" style="18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0.25" x14ac:dyDescent="0.35">
      <c r="A3" s="1"/>
      <c r="B3" s="107" t="s">
        <v>156</v>
      </c>
      <c r="C3" s="107"/>
      <c r="D3" s="107"/>
      <c r="E3" s="108" t="s">
        <v>98</v>
      </c>
      <c r="F3" s="108"/>
      <c r="G3" s="108"/>
      <c r="H3" s="108" t="s">
        <v>95</v>
      </c>
      <c r="I3" s="108"/>
      <c r="J3" s="108"/>
      <c r="K3" s="108" t="s">
        <v>96</v>
      </c>
      <c r="L3" s="108"/>
      <c r="M3" s="108"/>
      <c r="N3" s="23" t="s">
        <v>97</v>
      </c>
      <c r="O3" s="1"/>
      <c r="P3" s="1"/>
    </row>
    <row r="4" spans="1:16" x14ac:dyDescent="0.2">
      <c r="A4" s="1"/>
      <c r="B4" s="1"/>
      <c r="C4" s="1" t="s">
        <v>12</v>
      </c>
      <c r="D4" s="1" t="s">
        <v>13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1"/>
      <c r="B5" s="24" t="str">
        <f>'Γκρουπ Α'!L26</f>
        <v>1A</v>
      </c>
      <c r="C5" s="25"/>
      <c r="D5" s="2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1"/>
      <c r="B6" s="27" t="str">
        <f>Ώρες!I25</f>
        <v>Μπέλο Οριζόντε</v>
      </c>
      <c r="C6" s="9"/>
      <c r="D6" s="9"/>
      <c r="E6" s="28"/>
      <c r="F6" s="9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1"/>
      <c r="B7" s="29">
        <v>41818</v>
      </c>
      <c r="C7" s="9"/>
      <c r="D7" s="9"/>
      <c r="E7" s="24" t="str">
        <f>IF(C5="","",IF(C5&gt;C9,B5,IF(C5&lt;C9,B9,IF(D5&gt;D9,B5,IF(D5&lt;D9,B9,"")))))</f>
        <v/>
      </c>
      <c r="F7" s="25"/>
      <c r="G7" s="26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1"/>
      <c r="B8" s="30">
        <v>0.79166666666666663</v>
      </c>
      <c r="C8" s="29"/>
      <c r="D8" s="31"/>
      <c r="E8" s="28"/>
      <c r="F8" s="9"/>
      <c r="G8" s="1"/>
      <c r="H8" s="28"/>
      <c r="I8" s="1"/>
      <c r="J8" s="1"/>
      <c r="K8" s="1"/>
      <c r="L8" s="1"/>
      <c r="M8" s="1"/>
      <c r="N8" s="1"/>
      <c r="O8" s="1"/>
      <c r="P8" s="1"/>
    </row>
    <row r="9" spans="1:16" x14ac:dyDescent="0.2">
      <c r="A9" s="1"/>
      <c r="B9" s="24" t="str">
        <f>'Γκρουπ Β'!L27</f>
        <v>2B</v>
      </c>
      <c r="C9" s="25"/>
      <c r="D9" s="32"/>
      <c r="E9" s="27" t="str">
        <f>Ώρες!I16</f>
        <v>Φορταλέζα</v>
      </c>
      <c r="F9" s="27"/>
      <c r="G9" s="1"/>
      <c r="H9" s="28"/>
      <c r="I9" s="1"/>
      <c r="J9" s="1"/>
      <c r="K9" s="1"/>
      <c r="L9" s="1"/>
      <c r="M9" s="1"/>
      <c r="N9" s="1"/>
      <c r="O9" s="1"/>
      <c r="P9" s="1"/>
    </row>
    <row r="10" spans="1:16" x14ac:dyDescent="0.2">
      <c r="A10" s="1"/>
      <c r="B10" s="1"/>
      <c r="C10" s="1"/>
      <c r="D10" s="1"/>
      <c r="E10" s="29">
        <v>41824</v>
      </c>
      <c r="F10" s="33"/>
      <c r="G10" s="1"/>
      <c r="H10" s="24" t="str">
        <f>IF(F7="","",IF(F7&gt;F13,E7,IF(F7&lt;F13,E13,IF(G7&gt;G13,E7,IF(G7&lt;G13,E13,"")))))</f>
        <v/>
      </c>
      <c r="I10" s="25"/>
      <c r="J10" s="26"/>
      <c r="K10" s="1"/>
      <c r="L10" s="1"/>
      <c r="M10" s="1"/>
      <c r="N10" s="1"/>
      <c r="O10" s="1"/>
      <c r="P10" s="1"/>
    </row>
    <row r="11" spans="1:16" x14ac:dyDescent="0.2">
      <c r="A11" s="1"/>
      <c r="B11" s="24" t="str">
        <f>'Γκρουπ Γ'!L26</f>
        <v>1C</v>
      </c>
      <c r="C11" s="25"/>
      <c r="D11" s="26"/>
      <c r="E11" s="30">
        <v>0.95833333333333337</v>
      </c>
      <c r="F11" s="30"/>
      <c r="G11" s="1"/>
      <c r="H11" s="28"/>
      <c r="I11" s="1"/>
      <c r="J11" s="1"/>
      <c r="K11" s="28"/>
      <c r="L11" s="1"/>
      <c r="M11" s="1"/>
      <c r="N11" s="1"/>
      <c r="O11" s="1"/>
      <c r="P11" s="1"/>
    </row>
    <row r="12" spans="1:16" x14ac:dyDescent="0.2">
      <c r="A12" s="1"/>
      <c r="B12" s="27" t="str">
        <f>Ώρες!I22</f>
        <v>Ρίο Ντε Τζανέιρο</v>
      </c>
      <c r="C12" s="9"/>
      <c r="D12" s="9"/>
      <c r="E12" s="28"/>
      <c r="F12" s="9"/>
      <c r="G12" s="1"/>
      <c r="H12" s="28"/>
      <c r="I12" s="1"/>
      <c r="J12" s="1"/>
      <c r="K12" s="28"/>
      <c r="L12" s="1"/>
      <c r="M12" s="1"/>
      <c r="N12" s="1"/>
      <c r="O12" s="1"/>
      <c r="P12" s="1"/>
    </row>
    <row r="13" spans="1:16" x14ac:dyDescent="0.2">
      <c r="A13" s="1"/>
      <c r="B13" s="29">
        <v>41818</v>
      </c>
      <c r="C13" s="9"/>
      <c r="D13" s="9"/>
      <c r="E13" s="24" t="str">
        <f>IF(C11="","",IF(C11&gt;C15,B11,IF(C11&lt;C15,B15,IF(D11&gt;D15,B11,IF(D11&lt;D15,B15,"")))))</f>
        <v/>
      </c>
      <c r="F13" s="25"/>
      <c r="G13" s="32"/>
      <c r="H13" s="1"/>
      <c r="I13" s="1"/>
      <c r="J13" s="1"/>
      <c r="K13" s="28"/>
      <c r="L13" s="1"/>
      <c r="M13" s="1"/>
      <c r="N13" s="1"/>
      <c r="O13" s="1"/>
      <c r="P13" s="1"/>
    </row>
    <row r="14" spans="1:16" x14ac:dyDescent="0.2">
      <c r="A14" s="1"/>
      <c r="B14" s="30">
        <v>0.95833333333333337</v>
      </c>
      <c r="C14" s="1"/>
      <c r="D14" s="31"/>
      <c r="E14" s="28"/>
      <c r="F14" s="9"/>
      <c r="G14" s="1"/>
      <c r="H14" s="1"/>
      <c r="I14" s="1"/>
      <c r="J14" s="1"/>
      <c r="K14" s="28"/>
      <c r="L14" s="1"/>
      <c r="M14" s="1"/>
      <c r="N14" s="1"/>
      <c r="O14" s="1"/>
      <c r="P14" s="1"/>
    </row>
    <row r="15" spans="1:16" x14ac:dyDescent="0.2">
      <c r="A15" s="1"/>
      <c r="B15" s="24" t="str">
        <f>'Γκρουπ Δ'!L27</f>
        <v>2D</v>
      </c>
      <c r="C15" s="25"/>
      <c r="D15" s="32"/>
      <c r="E15" s="1"/>
      <c r="F15" s="1"/>
      <c r="G15" s="1"/>
      <c r="H15" s="27" t="str">
        <f>Ώρες!I25</f>
        <v>Μπέλο Οριζόντε</v>
      </c>
      <c r="I15" s="1"/>
      <c r="J15" s="1"/>
      <c r="K15" s="28"/>
      <c r="L15" s="1"/>
      <c r="M15" s="1"/>
      <c r="N15" s="1"/>
      <c r="O15" s="1"/>
      <c r="P15" s="1"/>
    </row>
    <row r="16" spans="1:16" x14ac:dyDescent="0.2">
      <c r="A16" s="1"/>
      <c r="B16" s="1"/>
      <c r="C16" s="1"/>
      <c r="D16" s="1"/>
      <c r="E16" s="1"/>
      <c r="F16" s="1"/>
      <c r="G16" s="1"/>
      <c r="H16" s="29">
        <v>41828</v>
      </c>
      <c r="I16" s="1"/>
      <c r="J16" s="1"/>
      <c r="K16" s="24" t="str">
        <f>IF(I10="","",IF(I10&gt;I22,H10,IF(I10&lt;I22,H22,IF(J10&gt;J22,H10,IF(J10&lt;J22,H22,"")))))</f>
        <v/>
      </c>
      <c r="L16" s="25"/>
      <c r="M16" s="26"/>
      <c r="N16" s="1"/>
      <c r="O16" s="1"/>
      <c r="P16" s="1"/>
    </row>
    <row r="17" spans="1:16" x14ac:dyDescent="0.2">
      <c r="A17" s="1"/>
      <c r="B17" s="24" t="str">
        <f>'Γκρουπ Ε'!L26</f>
        <v>1E</v>
      </c>
      <c r="C17" s="25"/>
      <c r="D17" s="26"/>
      <c r="E17" s="1"/>
      <c r="F17" s="1"/>
      <c r="G17" s="1"/>
      <c r="H17" s="30">
        <v>0.95833333333333337</v>
      </c>
      <c r="I17" s="1"/>
      <c r="J17" s="1"/>
      <c r="K17" s="28"/>
      <c r="L17" s="1"/>
      <c r="M17" s="1"/>
      <c r="N17" s="28"/>
      <c r="O17" s="1"/>
      <c r="P17" s="1"/>
    </row>
    <row r="18" spans="1:16" x14ac:dyDescent="0.2">
      <c r="A18" s="1"/>
      <c r="B18" s="27" t="str">
        <f>Ώρες!I18</f>
        <v>Μπραζίλια</v>
      </c>
      <c r="C18" s="9"/>
      <c r="D18" s="9"/>
      <c r="E18" s="28"/>
      <c r="F18" s="9"/>
      <c r="G18" s="1"/>
      <c r="H18" s="1"/>
      <c r="I18" s="1"/>
      <c r="J18" s="1"/>
      <c r="K18" s="28"/>
      <c r="L18" s="1"/>
      <c r="M18" s="1"/>
      <c r="N18" s="28"/>
      <c r="O18" s="1"/>
      <c r="P18" s="1"/>
    </row>
    <row r="19" spans="1:16" x14ac:dyDescent="0.2">
      <c r="A19" s="1"/>
      <c r="B19" s="29">
        <v>41820</v>
      </c>
      <c r="C19" s="9"/>
      <c r="D19" s="9"/>
      <c r="E19" s="24" t="str">
        <f>IF(C17="","",IF(C17&gt;C21,B17,IF(C17&lt;C21,B21,IF(D17&gt;D21,B17,IF(D17&lt;D21,B21,"")))))</f>
        <v/>
      </c>
      <c r="F19" s="25"/>
      <c r="G19" s="26"/>
      <c r="H19" s="1"/>
      <c r="I19" s="1"/>
      <c r="J19" s="1"/>
      <c r="K19" s="28"/>
      <c r="L19" s="1"/>
      <c r="M19" s="1"/>
      <c r="N19" s="28"/>
      <c r="O19" s="1"/>
      <c r="P19" s="1"/>
    </row>
    <row r="20" spans="1:16" x14ac:dyDescent="0.2">
      <c r="A20" s="1"/>
      <c r="B20" s="30">
        <v>0.79166666666666663</v>
      </c>
      <c r="C20" s="29"/>
      <c r="D20" s="31"/>
      <c r="E20" s="28"/>
      <c r="F20" s="9"/>
      <c r="G20" s="1"/>
      <c r="H20" s="28"/>
      <c r="I20" s="1"/>
      <c r="J20" s="1"/>
      <c r="K20" s="28"/>
      <c r="L20" s="1"/>
      <c r="M20" s="1"/>
      <c r="N20" s="28"/>
      <c r="O20" s="1"/>
      <c r="P20" s="1"/>
    </row>
    <row r="21" spans="1:16" x14ac:dyDescent="0.2">
      <c r="A21" s="1"/>
      <c r="B21" s="24" t="str">
        <f>'Γκρουπ ΣΤ'!L27</f>
        <v>2F</v>
      </c>
      <c r="C21" s="25"/>
      <c r="D21" s="32"/>
      <c r="E21" s="27" t="str">
        <f>Ώρες!I22</f>
        <v>Ρίο Ντε Τζανέιρο</v>
      </c>
      <c r="F21" s="27"/>
      <c r="G21" s="1"/>
      <c r="H21" s="28"/>
      <c r="I21" s="1"/>
      <c r="J21" s="1"/>
      <c r="K21" s="28"/>
      <c r="L21" s="1"/>
      <c r="M21" s="1"/>
      <c r="N21" s="28"/>
      <c r="O21" s="1"/>
      <c r="P21" s="1"/>
    </row>
    <row r="22" spans="1:16" x14ac:dyDescent="0.2">
      <c r="A22" s="1"/>
      <c r="B22" s="1"/>
      <c r="C22" s="1"/>
      <c r="D22" s="1"/>
      <c r="E22" s="29">
        <v>41824</v>
      </c>
      <c r="F22" s="33"/>
      <c r="G22" s="1"/>
      <c r="H22" s="24" t="str">
        <f>IF(F19="","",IF(F19&gt;F25,E19,IF(F19&lt;F25,E25,IF(G19&gt;G25,E19,IF(G19&lt;G25,E25,"")))))</f>
        <v/>
      </c>
      <c r="I22" s="25"/>
      <c r="J22" s="32"/>
      <c r="K22" s="1"/>
      <c r="L22" s="1"/>
      <c r="M22" s="1"/>
      <c r="N22" s="28"/>
      <c r="O22" s="1"/>
      <c r="P22" s="1"/>
    </row>
    <row r="23" spans="1:16" x14ac:dyDescent="0.2">
      <c r="A23" s="1"/>
      <c r="B23" s="24" t="str">
        <f>'Γκρουπ Ζ'!L26</f>
        <v>1G</v>
      </c>
      <c r="C23" s="25"/>
      <c r="D23" s="26"/>
      <c r="E23" s="30">
        <v>0.79166666666666663</v>
      </c>
      <c r="F23" s="30"/>
      <c r="G23" s="1"/>
      <c r="H23" s="28"/>
      <c r="I23" s="1"/>
      <c r="J23" s="1"/>
      <c r="K23" s="1"/>
      <c r="L23" s="1"/>
      <c r="M23" s="1"/>
      <c r="N23" s="28"/>
      <c r="O23" s="1"/>
      <c r="P23" s="1"/>
    </row>
    <row r="24" spans="1:16" x14ac:dyDescent="0.2">
      <c r="A24" s="1"/>
      <c r="B24" s="27" t="str">
        <f>Ώρες!I23</f>
        <v>Πόρτο Αλέγκρε</v>
      </c>
      <c r="C24" s="9"/>
      <c r="D24" s="9"/>
      <c r="E24" s="28"/>
      <c r="F24" s="9"/>
      <c r="G24" s="1"/>
      <c r="H24" s="28"/>
      <c r="I24" s="1"/>
      <c r="J24" s="1"/>
      <c r="K24" s="1"/>
      <c r="L24" s="1"/>
      <c r="M24" s="1"/>
      <c r="N24" s="28"/>
      <c r="O24" s="1"/>
      <c r="P24" s="1"/>
    </row>
    <row r="25" spans="1:16" x14ac:dyDescent="0.2">
      <c r="A25" s="1"/>
      <c r="B25" s="29">
        <v>41820</v>
      </c>
      <c r="C25" s="9"/>
      <c r="D25" s="9"/>
      <c r="E25" s="24" t="str">
        <f>IF(C23="","",IF(C23&gt;C27,B23,IF(C23&lt;C27,B27,IF(D23&gt;D27,B23,IF(D23&lt;D27,B27,"")))))</f>
        <v/>
      </c>
      <c r="F25" s="25"/>
      <c r="G25" s="32"/>
      <c r="H25" s="1"/>
      <c r="I25" s="1"/>
      <c r="J25" s="1"/>
      <c r="K25" s="1"/>
      <c r="L25" s="1"/>
      <c r="M25" s="1"/>
      <c r="N25" s="28"/>
      <c r="O25" s="1"/>
      <c r="P25" s="1"/>
    </row>
    <row r="26" spans="1:16" x14ac:dyDescent="0.2">
      <c r="A26" s="1"/>
      <c r="B26" s="30">
        <v>0.95833333333333337</v>
      </c>
      <c r="C26" s="1"/>
      <c r="D26" s="31"/>
      <c r="E26" s="28"/>
      <c r="F26" s="9"/>
      <c r="G26" s="1"/>
      <c r="H26" s="1"/>
      <c r="I26" s="1"/>
      <c r="J26" s="1"/>
      <c r="K26" s="1"/>
      <c r="L26" s="1"/>
      <c r="M26" s="1"/>
      <c r="N26" s="28"/>
      <c r="O26" s="1"/>
      <c r="P26" s="1"/>
    </row>
    <row r="27" spans="1:16" x14ac:dyDescent="0.2">
      <c r="A27" s="1"/>
      <c r="B27" s="24" t="str">
        <f>'Γκρουπ Η'!$L$27</f>
        <v>2H</v>
      </c>
      <c r="C27" s="25"/>
      <c r="D27" s="32"/>
      <c r="E27" s="1"/>
      <c r="F27" s="1"/>
      <c r="G27" s="1"/>
      <c r="H27" s="1"/>
      <c r="I27" s="1"/>
      <c r="J27" s="1"/>
      <c r="K27" s="27" t="str">
        <f>Ώρες!I22</f>
        <v>Ρίο Ντε Τζανέιρο</v>
      </c>
      <c r="L27" s="1"/>
      <c r="M27" s="1"/>
      <c r="N27" s="28"/>
      <c r="O27" s="1"/>
      <c r="P27" s="1"/>
    </row>
    <row r="28" spans="1:16" ht="23.2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29">
        <v>41833</v>
      </c>
      <c r="L28" s="1"/>
      <c r="M28" s="1"/>
      <c r="N28" s="34" t="str">
        <f>IF(L16="","Πρωταθλητής Κόσμου",IF(L16&gt;L40,K16,IF(L16&lt;L40,K40,IF(M16&gt;M40,K16,IF(M16&lt;M40,K40,"Πρωταθλητής Κόσμου")))))</f>
        <v>Πρωταθλητής Κόσμου</v>
      </c>
      <c r="O28" s="1"/>
      <c r="P28" s="1"/>
    </row>
    <row r="29" spans="1:16" x14ac:dyDescent="0.2">
      <c r="A29" s="1"/>
      <c r="B29" s="24" t="str">
        <f>'Γκρουπ Β'!L26</f>
        <v>1B</v>
      </c>
      <c r="C29" s="25"/>
      <c r="D29" s="26"/>
      <c r="E29" s="1"/>
      <c r="F29" s="1"/>
      <c r="G29" s="1"/>
      <c r="H29" s="1"/>
      <c r="I29" s="1"/>
      <c r="J29" s="1"/>
      <c r="K29" s="30">
        <v>0.91666666666666663</v>
      </c>
      <c r="L29" s="1"/>
      <c r="M29" s="1"/>
      <c r="N29" s="28"/>
      <c r="O29" s="1"/>
      <c r="P29" s="1"/>
    </row>
    <row r="30" spans="1:16" x14ac:dyDescent="0.2">
      <c r="A30" s="1"/>
      <c r="B30" s="27" t="str">
        <f>Ώρες!I16</f>
        <v>Φορταλέζα</v>
      </c>
      <c r="C30" s="9"/>
      <c r="D30" s="9"/>
      <c r="E30" s="28"/>
      <c r="F30" s="9"/>
      <c r="G30" s="1"/>
      <c r="H30" s="1"/>
      <c r="I30" s="1"/>
      <c r="J30" s="1"/>
      <c r="K30" s="1"/>
      <c r="L30" s="1"/>
      <c r="M30" s="1"/>
      <c r="N30" s="28"/>
      <c r="O30" s="1"/>
      <c r="P30" s="1"/>
    </row>
    <row r="31" spans="1:16" x14ac:dyDescent="0.2">
      <c r="A31" s="1"/>
      <c r="B31" s="29">
        <v>41819</v>
      </c>
      <c r="C31" s="9"/>
      <c r="D31" s="9"/>
      <c r="E31" s="24" t="str">
        <f>IF(C29="","",IF(C29&gt;C33,B29,IF(C29&lt;C33,B33,IF(D29&gt;D33,B29,IF(D29&lt;D33,B33,"")))))</f>
        <v/>
      </c>
      <c r="F31" s="25"/>
      <c r="G31" s="26"/>
      <c r="H31" s="1"/>
      <c r="I31" s="1"/>
      <c r="J31" s="1"/>
      <c r="K31" s="1"/>
      <c r="L31" s="1"/>
      <c r="M31" s="1"/>
      <c r="N31" s="28"/>
      <c r="O31" s="1"/>
      <c r="P31" s="1"/>
    </row>
    <row r="32" spans="1:16" x14ac:dyDescent="0.2">
      <c r="A32" s="1"/>
      <c r="B32" s="30">
        <v>0.79166666666666663</v>
      </c>
      <c r="C32" s="29"/>
      <c r="D32" s="31"/>
      <c r="E32" s="28"/>
      <c r="F32" s="9"/>
      <c r="G32" s="1"/>
      <c r="H32" s="28"/>
      <c r="I32" s="1"/>
      <c r="J32" s="1"/>
      <c r="K32" s="1"/>
      <c r="L32" s="1"/>
      <c r="M32" s="1"/>
      <c r="N32" s="28"/>
      <c r="O32" s="1"/>
      <c r="P32" s="1"/>
    </row>
    <row r="33" spans="1:16" x14ac:dyDescent="0.2">
      <c r="A33" s="1"/>
      <c r="B33" s="24" t="str">
        <f>'Γκρουπ Α'!L27</f>
        <v>2A</v>
      </c>
      <c r="C33" s="25"/>
      <c r="D33" s="32"/>
      <c r="E33" s="27" t="str">
        <f>Ώρες!I20</f>
        <v>Σαλβαδόρ</v>
      </c>
      <c r="F33" s="27"/>
      <c r="G33" s="1"/>
      <c r="H33" s="28"/>
      <c r="I33" s="1"/>
      <c r="J33" s="1"/>
      <c r="K33" s="1"/>
      <c r="L33" s="1"/>
      <c r="M33" s="1"/>
      <c r="N33" s="28"/>
      <c r="O33" s="1"/>
      <c r="P33" s="1"/>
    </row>
    <row r="34" spans="1:16" x14ac:dyDescent="0.2">
      <c r="A34" s="1"/>
      <c r="B34" s="1"/>
      <c r="C34" s="1"/>
      <c r="D34" s="1"/>
      <c r="E34" s="29">
        <v>41825</v>
      </c>
      <c r="F34" s="33"/>
      <c r="G34" s="1"/>
      <c r="H34" s="24" t="str">
        <f>IF(F31="","",IF(F31&gt;F37,E31,IF(F31&lt;F37,E37,IF(G31&gt;G37,E31,IF(G31&lt;G37,E37,"")))))</f>
        <v/>
      </c>
      <c r="I34" s="25"/>
      <c r="J34" s="26"/>
      <c r="K34" s="1"/>
      <c r="L34" s="1"/>
      <c r="M34" s="1"/>
      <c r="N34" s="28"/>
      <c r="O34" s="1"/>
      <c r="P34" s="1"/>
    </row>
    <row r="35" spans="1:16" x14ac:dyDescent="0.2">
      <c r="A35" s="1"/>
      <c r="B35" s="24" t="str">
        <f>'Γκρουπ Δ'!L26</f>
        <v>1D</v>
      </c>
      <c r="C35" s="25"/>
      <c r="D35" s="26"/>
      <c r="E35" s="30">
        <v>0.95833333333333337</v>
      </c>
      <c r="F35" s="30"/>
      <c r="G35" s="1"/>
      <c r="H35" s="28"/>
      <c r="I35" s="1"/>
      <c r="J35" s="1"/>
      <c r="K35" s="28"/>
      <c r="L35" s="1"/>
      <c r="M35" s="1"/>
      <c r="N35" s="28"/>
      <c r="O35" s="1"/>
      <c r="P35" s="1"/>
    </row>
    <row r="36" spans="1:16" x14ac:dyDescent="0.2">
      <c r="A36" s="1"/>
      <c r="B36" s="27" t="str">
        <f>Ώρες!I19</f>
        <v>Ρεσίφε</v>
      </c>
      <c r="C36" s="9"/>
      <c r="D36" s="9"/>
      <c r="E36" s="28"/>
      <c r="F36" s="9"/>
      <c r="G36" s="1"/>
      <c r="H36" s="28"/>
      <c r="I36" s="1"/>
      <c r="J36" s="1"/>
      <c r="K36" s="28"/>
      <c r="L36" s="1"/>
      <c r="M36" s="1"/>
      <c r="N36" s="28"/>
      <c r="O36" s="1"/>
      <c r="P36" s="1"/>
    </row>
    <row r="37" spans="1:16" x14ac:dyDescent="0.2">
      <c r="A37" s="1"/>
      <c r="B37" s="29">
        <v>41819</v>
      </c>
      <c r="C37" s="9"/>
      <c r="D37" s="9"/>
      <c r="E37" s="24" t="str">
        <f>IF(C35="","",IF(C35&gt;C39,B35,IF(C35&lt;C39,B39,IF(D35&gt;D39,B35,IF(D35&lt;D39,B39,"")))))</f>
        <v/>
      </c>
      <c r="F37" s="25"/>
      <c r="G37" s="32"/>
      <c r="H37" s="1"/>
      <c r="I37" s="1"/>
      <c r="J37" s="1"/>
      <c r="K37" s="28"/>
      <c r="L37" s="1"/>
      <c r="M37" s="1"/>
      <c r="N37" s="28"/>
      <c r="O37" s="1"/>
      <c r="P37" s="1"/>
    </row>
    <row r="38" spans="1:16" x14ac:dyDescent="0.2">
      <c r="A38" s="1"/>
      <c r="B38" s="30">
        <v>0.95833333333333337</v>
      </c>
      <c r="C38" s="1"/>
      <c r="D38" s="31"/>
      <c r="E38" s="28"/>
      <c r="F38" s="9"/>
      <c r="G38" s="1"/>
      <c r="H38" s="1"/>
      <c r="I38" s="1"/>
      <c r="J38" s="1"/>
      <c r="K38" s="28"/>
      <c r="L38" s="1"/>
      <c r="M38" s="1"/>
      <c r="N38" s="28"/>
      <c r="O38" s="1"/>
      <c r="P38" s="1"/>
    </row>
    <row r="39" spans="1:16" x14ac:dyDescent="0.2">
      <c r="A39" s="1"/>
      <c r="B39" s="24" t="str">
        <f>'Γκρουπ Γ'!L27</f>
        <v>2C</v>
      </c>
      <c r="C39" s="25"/>
      <c r="D39" s="32"/>
      <c r="E39" s="1"/>
      <c r="F39" s="1"/>
      <c r="G39" s="1"/>
      <c r="H39" s="27" t="str">
        <f>Ώρες!I14</f>
        <v>Σάο Πάολο</v>
      </c>
      <c r="I39" s="1"/>
      <c r="J39" s="1"/>
      <c r="K39" s="28"/>
      <c r="L39" s="1"/>
      <c r="M39" s="1"/>
      <c r="N39" s="28"/>
      <c r="O39" s="1"/>
      <c r="P39" s="1"/>
    </row>
    <row r="40" spans="1:16" x14ac:dyDescent="0.2">
      <c r="A40" s="1"/>
      <c r="B40" s="1"/>
      <c r="C40" s="1"/>
      <c r="D40" s="1"/>
      <c r="E40" s="1"/>
      <c r="F40" s="1"/>
      <c r="G40" s="1"/>
      <c r="H40" s="29">
        <v>41829</v>
      </c>
      <c r="I40" s="1"/>
      <c r="J40" s="1"/>
      <c r="K40" s="24" t="str">
        <f>IF(I34="","",IF(I34&gt;I46,H34,IF(I34&lt;I46,H46,IF(J34&gt;J46,H34,IF(J34&lt;J46,H46,"")))))</f>
        <v/>
      </c>
      <c r="L40" s="25"/>
      <c r="M40" s="32"/>
      <c r="N40" s="1"/>
      <c r="O40" s="1"/>
      <c r="P40" s="1"/>
    </row>
    <row r="41" spans="1:16" x14ac:dyDescent="0.2">
      <c r="A41" s="1"/>
      <c r="B41" s="24" t="str">
        <f>'Γκρουπ ΣΤ'!L26</f>
        <v>1F</v>
      </c>
      <c r="C41" s="25"/>
      <c r="D41" s="26"/>
      <c r="E41" s="1"/>
      <c r="F41" s="1"/>
      <c r="G41" s="1"/>
      <c r="H41" s="30">
        <v>0.95833333333333337</v>
      </c>
      <c r="I41" s="1"/>
      <c r="J41" s="1"/>
      <c r="K41" s="28"/>
      <c r="L41" s="1"/>
      <c r="M41" s="1"/>
      <c r="N41" s="1"/>
      <c r="O41" s="1"/>
      <c r="P41" s="1"/>
    </row>
    <row r="42" spans="1:16" x14ac:dyDescent="0.2">
      <c r="A42" s="1"/>
      <c r="B42" s="27" t="str">
        <f>Ώρες!I14</f>
        <v>Σάο Πάολο</v>
      </c>
      <c r="C42" s="9"/>
      <c r="D42" s="9"/>
      <c r="E42" s="28"/>
      <c r="F42" s="9"/>
      <c r="G42" s="1"/>
      <c r="H42" s="1"/>
      <c r="I42" s="1"/>
      <c r="J42" s="1"/>
      <c r="K42" s="28"/>
      <c r="L42" s="1"/>
      <c r="M42" s="1"/>
      <c r="N42" s="1"/>
      <c r="O42" s="1"/>
      <c r="P42" s="1"/>
    </row>
    <row r="43" spans="1:16" x14ac:dyDescent="0.2">
      <c r="A43" s="1"/>
      <c r="B43" s="29">
        <v>41821</v>
      </c>
      <c r="C43" s="9"/>
      <c r="D43" s="9"/>
      <c r="E43" s="24" t="str">
        <f>IF(C41="","",IF(C41&gt;C45,B41,IF(C41&lt;C45,B45,IF(D41&gt;D45,B41,B45))))</f>
        <v/>
      </c>
      <c r="F43" s="25"/>
      <c r="G43" s="26"/>
      <c r="H43" s="1"/>
      <c r="I43" s="1"/>
      <c r="J43" s="1"/>
      <c r="K43" s="28"/>
      <c r="L43" s="1"/>
      <c r="M43" s="1"/>
      <c r="N43" s="1"/>
      <c r="O43" s="1"/>
      <c r="P43" s="1"/>
    </row>
    <row r="44" spans="1:16" x14ac:dyDescent="0.2">
      <c r="A44" s="1"/>
      <c r="B44" s="30">
        <v>0.79166666666666663</v>
      </c>
      <c r="C44" s="29"/>
      <c r="D44" s="31"/>
      <c r="E44" s="28"/>
      <c r="F44" s="9"/>
      <c r="G44" s="1"/>
      <c r="H44" s="28"/>
      <c r="I44" s="1"/>
      <c r="J44" s="1"/>
      <c r="K44" s="28"/>
      <c r="L44" s="1"/>
      <c r="M44" s="1"/>
      <c r="N44" s="1"/>
      <c r="O44" s="1"/>
      <c r="P44" s="1"/>
    </row>
    <row r="45" spans="1:16" x14ac:dyDescent="0.2">
      <c r="A45" s="1"/>
      <c r="B45" s="24" t="str">
        <f>'Γκρουπ Ε'!L27</f>
        <v>2E</v>
      </c>
      <c r="C45" s="25"/>
      <c r="D45" s="32"/>
      <c r="E45" s="27" t="str">
        <f>Ώρες!I18</f>
        <v>Μπραζίλια</v>
      </c>
      <c r="F45" s="27"/>
      <c r="G45" s="1"/>
      <c r="H45" s="28"/>
      <c r="I45" s="1"/>
      <c r="J45" s="1"/>
      <c r="K45" s="28"/>
      <c r="L45" s="1"/>
      <c r="M45" s="1"/>
      <c r="N45" s="1"/>
      <c r="O45" s="1"/>
      <c r="P45" s="1"/>
    </row>
    <row r="46" spans="1:16" x14ac:dyDescent="0.2">
      <c r="A46" s="1"/>
      <c r="B46" s="1"/>
      <c r="C46" s="1"/>
      <c r="D46" s="1"/>
      <c r="E46" s="29">
        <v>41825</v>
      </c>
      <c r="F46" s="33"/>
      <c r="G46" s="1"/>
      <c r="H46" s="24" t="str">
        <f>IF(F43="","",IF(F43&gt;F49,E43,IF(F43&lt;F49,E49,IF(G43&gt;G49,E43,IF(G43&lt;G49,E49,"")))))</f>
        <v/>
      </c>
      <c r="I46" s="25"/>
      <c r="J46" s="32"/>
      <c r="K46" s="1"/>
      <c r="L46" s="1"/>
      <c r="M46" s="1"/>
      <c r="N46" s="1"/>
      <c r="O46" s="1"/>
      <c r="P46" s="1"/>
    </row>
    <row r="47" spans="1:16" x14ac:dyDescent="0.2">
      <c r="A47" s="1"/>
      <c r="B47" s="24" t="str">
        <f>'Γκρουπ Η'!L26</f>
        <v>1H</v>
      </c>
      <c r="C47" s="25"/>
      <c r="D47" s="26"/>
      <c r="E47" s="30">
        <v>0.79166666666666663</v>
      </c>
      <c r="F47" s="30"/>
      <c r="G47" s="1"/>
      <c r="H47" s="28"/>
      <c r="I47" s="1"/>
      <c r="J47" s="1"/>
      <c r="K47" s="1"/>
      <c r="L47" s="1"/>
      <c r="M47" s="1"/>
      <c r="N47" s="1"/>
      <c r="O47" s="1"/>
      <c r="P47" s="1"/>
    </row>
    <row r="48" spans="1:16" x14ac:dyDescent="0.2">
      <c r="A48" s="1"/>
      <c r="B48" s="27" t="str">
        <f>Ώρες!I20</f>
        <v>Σαλβαδόρ</v>
      </c>
      <c r="C48" s="9"/>
      <c r="D48" s="9"/>
      <c r="E48" s="28"/>
      <c r="F48" s="9"/>
      <c r="G48" s="1"/>
      <c r="H48" s="28"/>
      <c r="I48" s="1"/>
      <c r="J48" s="1"/>
      <c r="K48" s="1"/>
      <c r="L48" s="1"/>
      <c r="M48" s="1"/>
      <c r="N48" s="1"/>
      <c r="O48" s="1"/>
      <c r="P48" s="1"/>
    </row>
    <row r="49" spans="1:16" ht="16.5" customHeight="1" x14ac:dyDescent="0.25">
      <c r="A49" s="1"/>
      <c r="B49" s="29">
        <v>41821</v>
      </c>
      <c r="C49" s="9"/>
      <c r="D49" s="9"/>
      <c r="E49" s="24" t="str">
        <f>IF(C47="","",IF(C47&gt;C51,B47,IF(C47&lt;C51,B51,IF(D47&gt;D51,B47,B51))))</f>
        <v/>
      </c>
      <c r="F49" s="25"/>
      <c r="G49" s="32"/>
      <c r="H49" s="1"/>
      <c r="I49" s="1"/>
      <c r="J49" s="1"/>
      <c r="K49" s="109" t="s">
        <v>157</v>
      </c>
      <c r="L49" s="109"/>
      <c r="M49" s="109"/>
      <c r="N49" s="109"/>
      <c r="O49" s="1"/>
      <c r="P49" s="1"/>
    </row>
    <row r="50" spans="1:16" x14ac:dyDescent="0.2">
      <c r="A50" s="1"/>
      <c r="B50" s="30">
        <v>0.95833333333333337</v>
      </c>
      <c r="C50" s="1"/>
      <c r="D50" s="31"/>
      <c r="E50" s="28"/>
      <c r="F50" s="9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24" t="str">
        <f>'Γκρουπ Ζ'!L27</f>
        <v>2G</v>
      </c>
      <c r="C51" s="25"/>
      <c r="D51" s="32"/>
      <c r="E51" s="1"/>
      <c r="F51" s="1"/>
      <c r="G51" s="1"/>
      <c r="H51" s="1"/>
      <c r="I51" s="1"/>
      <c r="J51" s="1"/>
      <c r="K51" s="24" t="str">
        <f>IF(I10="","",IF(I10&lt;I22,H10,IF(I10&gt;I22,H22,IF(J10&lt;J22,H10,H22))))</f>
        <v/>
      </c>
      <c r="L51" s="25"/>
      <c r="M51" s="26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8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27" t="str">
        <f>Ώρες!I18</f>
        <v>Μπραζίλια</v>
      </c>
      <c r="L53" s="1"/>
      <c r="M53" s="1"/>
      <c r="N53" s="28"/>
      <c r="O53" s="1"/>
      <c r="P53" s="1"/>
    </row>
    <row r="54" spans="1:16" ht="23.2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29">
        <v>41832</v>
      </c>
      <c r="L54" s="1"/>
      <c r="M54" s="1"/>
      <c r="N54" s="34" t="str">
        <f>IF(L51="","",IF(L51&gt;L57,K51,IF(L51&lt;L57,K57,IF(M51&gt;M57,K51,IF(M51&lt;M57,K57,"")))))</f>
        <v/>
      </c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30">
        <v>0.95833333333333337</v>
      </c>
      <c r="L55" s="1"/>
      <c r="M55" s="1"/>
      <c r="N55" s="28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8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24" t="str">
        <f>IF(I34="","",IF(I34&lt;I46,H34,IF(I34&gt;I46,H46,IF(J34&lt;J46,H34,H46))))</f>
        <v/>
      </c>
      <c r="L57" s="25"/>
      <c r="M57" s="32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</sheetData>
  <customSheetViews>
    <customSheetView guid="{95E402C5-2143-4FCF-AAA0-B9B99670355B}" scale="85">
      <selection activeCell="P27" sqref="P27"/>
      <pageMargins left="0.74791666666666667" right="0.74791666666666667" top="0.98402777777777772" bottom="0.98402777777777772" header="0.51180555555555551" footer="0.51180555555555551"/>
      <pageSetup paperSize="9" firstPageNumber="0" orientation="portrait" horizontalDpi="300" verticalDpi="300"/>
      <headerFooter alignWithMargins="0"/>
    </customSheetView>
  </customSheetViews>
  <mergeCells count="5">
    <mergeCell ref="B3:D3"/>
    <mergeCell ref="E3:G3"/>
    <mergeCell ref="H3:J3"/>
    <mergeCell ref="K3:M3"/>
    <mergeCell ref="K49:N49"/>
  </mergeCells>
  <conditionalFormatting sqref="D5 D11 D17 D23 D29 D35 D41 D47">
    <cfRule type="expression" dxfId="7" priority="1" stopIfTrue="1">
      <formula>AND(C5&lt;&gt;"",C5=C9)</formula>
    </cfRule>
  </conditionalFormatting>
  <conditionalFormatting sqref="D9 D15 D21 D27 D33 D39 D45 D51">
    <cfRule type="expression" dxfId="6" priority="2" stopIfTrue="1">
      <formula>AND(C5&lt;&gt;"",C5=C9)</formula>
    </cfRule>
  </conditionalFormatting>
  <conditionalFormatting sqref="G7 G19 G31 G43 M51">
    <cfRule type="expression" dxfId="5" priority="3" stopIfTrue="1">
      <formula>AND(F7&lt;&gt;"",F7=F13)</formula>
    </cfRule>
  </conditionalFormatting>
  <conditionalFormatting sqref="G13 G25 G37 G49 M57">
    <cfRule type="expression" dxfId="4" priority="4" stopIfTrue="1">
      <formula>AND(F7&lt;&gt;"",F7=F13)</formula>
    </cfRule>
  </conditionalFormatting>
  <conditionalFormatting sqref="J10 J34">
    <cfRule type="expression" dxfId="3" priority="5" stopIfTrue="1">
      <formula>AND(I10&lt;&gt;"",I10=I22)</formula>
    </cfRule>
  </conditionalFormatting>
  <conditionalFormatting sqref="J22 J46">
    <cfRule type="expression" dxfId="2" priority="6" stopIfTrue="1">
      <formula>AND(I10&lt;&gt;"",I10=I22)</formula>
    </cfRule>
  </conditionalFormatting>
  <conditionalFormatting sqref="M16">
    <cfRule type="expression" dxfId="1" priority="7" stopIfTrue="1">
      <formula>AND(L16&lt;&gt;"",L16=L40)</formula>
    </cfRule>
  </conditionalFormatting>
  <conditionalFormatting sqref="M40">
    <cfRule type="expression" dxfId="0" priority="8" stopIfTrue="1">
      <formula>AND(L16&lt;&gt;"",L16=L40)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C2:L20"/>
  <sheetViews>
    <sheetView workbookViewId="0">
      <selection activeCell="I6" sqref="I6"/>
    </sheetView>
  </sheetViews>
  <sheetFormatPr defaultColWidth="11.42578125" defaultRowHeight="12.75" x14ac:dyDescent="0.2"/>
  <cols>
    <col min="1" max="1" width="17.28515625" customWidth="1"/>
    <col min="3" max="3" width="5.42578125" customWidth="1"/>
    <col min="6" max="6" width="5.140625" customWidth="1"/>
    <col min="7" max="7" width="16.5703125" bestFit="1" customWidth="1"/>
    <col min="9" max="9" width="16.7109375" bestFit="1" customWidth="1"/>
    <col min="10" max="10" width="19.28515625" bestFit="1" customWidth="1"/>
    <col min="11" max="11" width="14.42578125" customWidth="1"/>
    <col min="12" max="12" width="19.42578125" bestFit="1" customWidth="1"/>
  </cols>
  <sheetData>
    <row r="2" spans="3:12" x14ac:dyDescent="0.2">
      <c r="C2" s="51" t="s">
        <v>32</v>
      </c>
      <c r="D2" s="51" t="s">
        <v>103</v>
      </c>
      <c r="F2" s="51" t="s">
        <v>33</v>
      </c>
      <c r="G2" s="51" t="s">
        <v>102</v>
      </c>
    </row>
    <row r="3" spans="3:12" x14ac:dyDescent="0.2">
      <c r="C3" s="51" t="s">
        <v>34</v>
      </c>
      <c r="D3" t="s">
        <v>100</v>
      </c>
      <c r="F3" s="51" t="s">
        <v>36</v>
      </c>
      <c r="G3" t="s">
        <v>101</v>
      </c>
    </row>
    <row r="4" spans="3:12" x14ac:dyDescent="0.2">
      <c r="C4" s="51" t="s">
        <v>38</v>
      </c>
      <c r="D4" t="s">
        <v>104</v>
      </c>
      <c r="F4" s="51" t="s">
        <v>40</v>
      </c>
      <c r="G4" t="s">
        <v>105</v>
      </c>
      <c r="I4" s="51" t="s">
        <v>41</v>
      </c>
      <c r="J4" s="51" t="s">
        <v>42</v>
      </c>
      <c r="K4" s="51" t="s">
        <v>43</v>
      </c>
      <c r="L4" s="51" t="s">
        <v>44</v>
      </c>
    </row>
    <row r="5" spans="3:12" x14ac:dyDescent="0.2">
      <c r="C5" s="51" t="s">
        <v>45</v>
      </c>
      <c r="D5" t="s">
        <v>107</v>
      </c>
      <c r="F5" s="51" t="s">
        <v>46</v>
      </c>
      <c r="G5" t="s">
        <v>106</v>
      </c>
      <c r="I5" s="51" t="s">
        <v>103</v>
      </c>
      <c r="J5" s="51" t="s">
        <v>122</v>
      </c>
      <c r="K5" s="51" t="s">
        <v>115</v>
      </c>
      <c r="L5" s="51" t="s">
        <v>111</v>
      </c>
    </row>
    <row r="6" spans="3:12" x14ac:dyDescent="0.2">
      <c r="C6" s="51"/>
      <c r="F6" s="51"/>
      <c r="I6" s="51" t="s">
        <v>109</v>
      </c>
      <c r="J6" s="51" t="s">
        <v>107</v>
      </c>
      <c r="K6" s="51" t="s">
        <v>112</v>
      </c>
      <c r="L6" s="51" t="s">
        <v>100</v>
      </c>
    </row>
    <row r="7" spans="3:12" x14ac:dyDescent="0.2">
      <c r="C7" s="51" t="s">
        <v>48</v>
      </c>
      <c r="D7" s="51" t="s">
        <v>108</v>
      </c>
      <c r="F7" s="51" t="s">
        <v>49</v>
      </c>
      <c r="G7" s="51" t="s">
        <v>109</v>
      </c>
      <c r="I7" s="51" t="s">
        <v>116</v>
      </c>
      <c r="J7" s="51" t="s">
        <v>129</v>
      </c>
      <c r="K7" s="51" t="s">
        <v>117</v>
      </c>
      <c r="L7" s="51" t="s">
        <v>126</v>
      </c>
    </row>
    <row r="8" spans="3:12" x14ac:dyDescent="0.2">
      <c r="C8" s="51" t="s">
        <v>51</v>
      </c>
      <c r="D8" t="s">
        <v>110</v>
      </c>
      <c r="F8" s="51" t="s">
        <v>52</v>
      </c>
      <c r="G8" t="s">
        <v>111</v>
      </c>
      <c r="I8" s="51" t="s">
        <v>142</v>
      </c>
      <c r="J8" s="51" t="s">
        <v>118</v>
      </c>
      <c r="K8" s="51" t="s">
        <v>124</v>
      </c>
      <c r="L8" s="51" t="s">
        <v>105</v>
      </c>
    </row>
    <row r="9" spans="3:12" x14ac:dyDescent="0.2">
      <c r="C9" s="51" t="s">
        <v>53</v>
      </c>
      <c r="D9" t="s">
        <v>114</v>
      </c>
      <c r="F9" s="51" t="s">
        <v>54</v>
      </c>
      <c r="G9" s="52" t="s">
        <v>112</v>
      </c>
      <c r="I9" s="51" t="s">
        <v>121</v>
      </c>
      <c r="J9" s="51" t="s">
        <v>113</v>
      </c>
      <c r="K9" s="51" t="s">
        <v>127</v>
      </c>
      <c r="L9" s="51" t="s">
        <v>99</v>
      </c>
    </row>
    <row r="10" spans="3:12" x14ac:dyDescent="0.2">
      <c r="C10" s="51" t="s">
        <v>55</v>
      </c>
      <c r="D10" t="s">
        <v>115</v>
      </c>
      <c r="F10" s="51" t="s">
        <v>56</v>
      </c>
      <c r="G10" t="s">
        <v>113</v>
      </c>
      <c r="I10" s="51" t="s">
        <v>141</v>
      </c>
      <c r="J10" s="51" t="s">
        <v>114</v>
      </c>
      <c r="K10" s="51" t="s">
        <v>106</v>
      </c>
      <c r="L10" s="51" t="s">
        <v>125</v>
      </c>
    </row>
    <row r="11" spans="3:12" x14ac:dyDescent="0.2">
      <c r="C11" s="51"/>
      <c r="F11" s="51"/>
      <c r="I11" s="51" t="s">
        <v>108</v>
      </c>
      <c r="J11" s="51" t="s">
        <v>101</v>
      </c>
      <c r="K11" s="51" t="s">
        <v>104</v>
      </c>
      <c r="L11" s="51" t="s">
        <v>110</v>
      </c>
    </row>
    <row r="12" spans="3:12" x14ac:dyDescent="0.2">
      <c r="C12" s="51" t="s">
        <v>58</v>
      </c>
      <c r="D12" s="51" t="s">
        <v>116</v>
      </c>
      <c r="F12" s="51" t="s">
        <v>59</v>
      </c>
      <c r="G12" s="51" t="s">
        <v>141</v>
      </c>
      <c r="I12" s="51" t="s">
        <v>102</v>
      </c>
      <c r="J12" s="51"/>
      <c r="K12" s="51" t="s">
        <v>120</v>
      </c>
      <c r="L12" s="51" t="s">
        <v>119</v>
      </c>
    </row>
    <row r="13" spans="3:12" x14ac:dyDescent="0.2">
      <c r="C13" s="51" t="s">
        <v>60</v>
      </c>
      <c r="D13" t="s">
        <v>99</v>
      </c>
      <c r="F13" s="51" t="s">
        <v>61</v>
      </c>
      <c r="G13" s="52" t="s">
        <v>119</v>
      </c>
      <c r="L13" s="51" t="s">
        <v>123</v>
      </c>
    </row>
    <row r="14" spans="3:12" x14ac:dyDescent="0.2">
      <c r="C14" s="51" t="s">
        <v>62</v>
      </c>
      <c r="D14" t="s">
        <v>129</v>
      </c>
      <c r="F14" s="51" t="s">
        <v>63</v>
      </c>
      <c r="G14" t="s">
        <v>118</v>
      </c>
    </row>
    <row r="15" spans="3:12" x14ac:dyDescent="0.2">
      <c r="C15" s="51" t="s">
        <v>64</v>
      </c>
      <c r="D15" t="s">
        <v>117</v>
      </c>
      <c r="F15" s="51" t="s">
        <v>65</v>
      </c>
      <c r="G15" t="s">
        <v>120</v>
      </c>
    </row>
    <row r="16" spans="3:12" x14ac:dyDescent="0.2">
      <c r="C16" s="51"/>
      <c r="F16" s="51"/>
    </row>
    <row r="17" spans="3:7" x14ac:dyDescent="0.2">
      <c r="C17" s="51" t="s">
        <v>66</v>
      </c>
      <c r="D17" s="51" t="s">
        <v>128</v>
      </c>
      <c r="F17" s="51" t="s">
        <v>67</v>
      </c>
      <c r="G17" s="51" t="s">
        <v>121</v>
      </c>
    </row>
    <row r="18" spans="3:7" x14ac:dyDescent="0.2">
      <c r="C18" s="51" t="s">
        <v>68</v>
      </c>
      <c r="D18" t="s">
        <v>127</v>
      </c>
      <c r="F18" s="51" t="s">
        <v>69</v>
      </c>
      <c r="G18" t="s">
        <v>122</v>
      </c>
    </row>
    <row r="19" spans="3:7" x14ac:dyDescent="0.2">
      <c r="C19" s="51" t="s">
        <v>70</v>
      </c>
      <c r="D19" t="s">
        <v>126</v>
      </c>
      <c r="F19" s="51" t="s">
        <v>71</v>
      </c>
      <c r="G19" t="s">
        <v>123</v>
      </c>
    </row>
    <row r="20" spans="3:7" x14ac:dyDescent="0.2">
      <c r="C20" s="51" t="s">
        <v>72</v>
      </c>
      <c r="D20" t="s">
        <v>125</v>
      </c>
      <c r="F20" s="51" t="s">
        <v>73</v>
      </c>
      <c r="G20" t="s">
        <v>124</v>
      </c>
    </row>
  </sheetData>
  <sheetProtection selectLockedCells="1" selectUnlockedCells="1"/>
  <customSheetViews>
    <customSheetView guid="{95E402C5-2143-4FCF-AAA0-B9B99670355B}" state="hidden">
      <selection activeCell="I6" sqref="I6"/>
      <pageMargins left="0.74791666666666667" right="0.74791666666666667" top="0.98402777777777772" bottom="0.98402777777777772" header="0.51180555555555551" footer="0.51180555555555551"/>
      <pageSetup paperSize="9" firstPageNumber="0" orientation="portrait" horizontalDpi="300" verticalDpi="300"/>
      <headerFooter alignWithMargins="0"/>
    </customSheetView>
  </customSheetView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G59"/>
  <sheetViews>
    <sheetView workbookViewId="0">
      <selection activeCell="K10" sqref="K10"/>
    </sheetView>
  </sheetViews>
  <sheetFormatPr defaultColWidth="9.140625" defaultRowHeight="12.75" x14ac:dyDescent="0.2"/>
  <cols>
    <col min="1" max="1" width="9.140625" style="38"/>
    <col min="2" max="2" width="17.5703125" style="38" bestFit="1" customWidth="1"/>
    <col min="3" max="10" width="9.140625" style="38"/>
    <col min="11" max="11" width="17.5703125" style="38" bestFit="1" customWidth="1"/>
    <col min="12" max="22" width="9.140625" style="38"/>
    <col min="23" max="23" width="15.85546875" style="38" customWidth="1"/>
    <col min="24" max="24" width="14.140625" style="39" customWidth="1"/>
    <col min="25" max="25" width="9.140625" style="38"/>
    <col min="26" max="26" width="3.42578125" style="38" customWidth="1"/>
    <col min="27" max="27" width="12.28515625" style="38" customWidth="1"/>
    <col min="28" max="29" width="3.140625" style="38" customWidth="1"/>
    <col min="30" max="31" width="3.28515625" style="38" customWidth="1"/>
    <col min="32" max="32" width="3.42578125" style="38" customWidth="1"/>
    <col min="33" max="33" width="3.140625" style="38" customWidth="1"/>
    <col min="34" max="16384" width="9.140625" style="38"/>
  </cols>
  <sheetData>
    <row r="1" spans="1:33" x14ac:dyDescent="0.2">
      <c r="A1"/>
      <c r="B1"/>
      <c r="C1"/>
      <c r="D1"/>
    </row>
    <row r="4" spans="1:33" x14ac:dyDescent="0.2">
      <c r="A4" s="111" t="s">
        <v>23</v>
      </c>
      <c r="B4" s="111"/>
      <c r="C4" s="111"/>
      <c r="D4" s="111"/>
      <c r="E4" s="111"/>
      <c r="F4" s="111"/>
      <c r="G4" s="111"/>
      <c r="H4" s="111"/>
      <c r="I4" s="111"/>
    </row>
    <row r="5" spans="1:33" x14ac:dyDescent="0.2">
      <c r="K5" s="110" t="s">
        <v>1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X5" s="41"/>
      <c r="Y5" s="42"/>
      <c r="Z5" s="42"/>
      <c r="AA5" s="42"/>
      <c r="AB5" s="42"/>
      <c r="AC5" s="42"/>
      <c r="AD5" s="42"/>
      <c r="AE5" s="42"/>
      <c r="AF5" s="42"/>
      <c r="AG5" s="42"/>
    </row>
    <row r="6" spans="1:33" x14ac:dyDescent="0.2">
      <c r="A6" s="40" t="s">
        <v>24</v>
      </c>
      <c r="B6" s="66" t="s">
        <v>140</v>
      </c>
      <c r="C6" s="66" t="s">
        <v>143</v>
      </c>
      <c r="D6" s="66" t="s">
        <v>144</v>
      </c>
      <c r="E6" s="66" t="s">
        <v>145</v>
      </c>
      <c r="F6" s="66" t="s">
        <v>147</v>
      </c>
      <c r="G6" s="66" t="s">
        <v>148</v>
      </c>
      <c r="H6" s="66" t="s">
        <v>146</v>
      </c>
      <c r="I6" s="66" t="s">
        <v>149</v>
      </c>
      <c r="K6" s="40" t="s">
        <v>140</v>
      </c>
      <c r="L6" s="66" t="s">
        <v>143</v>
      </c>
      <c r="M6" s="66" t="s">
        <v>144</v>
      </c>
      <c r="N6" s="66" t="s">
        <v>145</v>
      </c>
      <c r="O6" s="66" t="s">
        <v>147</v>
      </c>
      <c r="P6" s="66" t="s">
        <v>148</v>
      </c>
      <c r="Q6" s="66" t="s">
        <v>146</v>
      </c>
      <c r="R6" s="66" t="s">
        <v>149</v>
      </c>
      <c r="S6" s="40" t="s">
        <v>27</v>
      </c>
      <c r="T6" s="40" t="s">
        <v>28</v>
      </c>
      <c r="U6" s="40" t="s">
        <v>29</v>
      </c>
      <c r="V6" s="40" t="s">
        <v>30</v>
      </c>
      <c r="W6" s="43" t="s">
        <v>31</v>
      </c>
      <c r="X6" s="44"/>
      <c r="Y6" s="45"/>
      <c r="Z6" s="46"/>
      <c r="AA6" s="46"/>
      <c r="AB6" s="46"/>
      <c r="AC6" s="46"/>
      <c r="AD6" s="46"/>
      <c r="AE6" s="46"/>
      <c r="AF6" s="46"/>
      <c r="AG6" s="46"/>
    </row>
    <row r="7" spans="1:33" x14ac:dyDescent="0.2">
      <c r="A7" s="40">
        <v>1</v>
      </c>
      <c r="B7" s="65" t="str">
        <f>INDEX(K$7:K$11,MATCH($A7,$X$7:$X$11,0))</f>
        <v>Βραζιλία</v>
      </c>
      <c r="C7" s="65">
        <f t="shared" ref="C7:I7" si="0">INDEX(L$7:L$11,MATCH($A7,$X$7:$X$11,0))</f>
        <v>0</v>
      </c>
      <c r="D7" s="65">
        <f t="shared" si="0"/>
        <v>0</v>
      </c>
      <c r="E7" s="65">
        <f t="shared" si="0"/>
        <v>0</v>
      </c>
      <c r="F7" s="65">
        <f t="shared" si="0"/>
        <v>0</v>
      </c>
      <c r="G7" s="65">
        <f t="shared" si="0"/>
        <v>0</v>
      </c>
      <c r="H7" s="65">
        <f t="shared" si="0"/>
        <v>0</v>
      </c>
      <c r="I7" s="65">
        <f t="shared" si="0"/>
        <v>0</v>
      </c>
      <c r="K7" s="47" t="str">
        <f>Ομάδες!$D2</f>
        <v>Βραζιλία</v>
      </c>
      <c r="L7" s="47">
        <f>'Βοηθητικές θέσεις πίνακα'!N3</f>
        <v>0</v>
      </c>
      <c r="M7" s="47">
        <f>'Βοηθητικές θέσεις πίνακα'!P3</f>
        <v>0</v>
      </c>
      <c r="N7" s="47">
        <f>'Βοηθητικές θέσεις πίνακα'!O3</f>
        <v>0</v>
      </c>
      <c r="O7" s="47">
        <f>'Βοηθητικές θέσεις πίνακα'!Q3</f>
        <v>0</v>
      </c>
      <c r="P7" s="47">
        <f>'Βοηθητικές θέσεις πίνακα'!R3</f>
        <v>0</v>
      </c>
      <c r="Q7" s="47">
        <f>O7-P7</f>
        <v>0</v>
      </c>
      <c r="R7" s="47">
        <f>L7*3+M7</f>
        <v>0</v>
      </c>
      <c r="S7" s="47">
        <f>IF(SUM(L7:N7)=0,ROW()-6,RANK(R7,$R$7:$R$10))</f>
        <v>1</v>
      </c>
      <c r="T7" s="47">
        <f>SUMPRODUCT(($R$7:$R$10=R7)*(Q7&lt;$Q$7:$Q$10))</f>
        <v>0</v>
      </c>
      <c r="U7" s="47">
        <f>S7+T7</f>
        <v>1</v>
      </c>
      <c r="V7" s="65">
        <f>RANK(U7,$U$7:$U$10,1)+COUNTIF($U$7:U7,U7)-1</f>
        <v>1</v>
      </c>
      <c r="W7" s="48">
        <f>R7*100+(O7-P7)*10+O7-ROW(K7)*0.01</f>
        <v>-7.0000000000000007E-2</v>
      </c>
      <c r="X7" s="46">
        <f>RANK(W7,$W$7:$W$10,0)</f>
        <v>1</v>
      </c>
      <c r="Y7" s="49"/>
      <c r="Z7" s="39"/>
      <c r="AA7" s="49"/>
      <c r="AB7" s="49"/>
      <c r="AC7" s="49"/>
      <c r="AD7" s="49"/>
      <c r="AE7" s="49"/>
      <c r="AF7" s="49"/>
      <c r="AG7" s="49"/>
    </row>
    <row r="8" spans="1:33" x14ac:dyDescent="0.2">
      <c r="A8" s="40">
        <v>2</v>
      </c>
      <c r="B8" s="65" t="str">
        <f>INDEX(K$7:K$11,MATCH($A8,$X$7:$X$11,0))</f>
        <v>Κροατία</v>
      </c>
      <c r="C8" s="65">
        <f t="shared" ref="C8:I10" si="1">INDEX(L$7:L$11,MATCH($A8,$X$7:$X$11,0))</f>
        <v>0</v>
      </c>
      <c r="D8" s="65">
        <f t="shared" si="1"/>
        <v>0</v>
      </c>
      <c r="E8" s="65">
        <f t="shared" si="1"/>
        <v>0</v>
      </c>
      <c r="F8" s="65">
        <f t="shared" si="1"/>
        <v>0</v>
      </c>
      <c r="G8" s="65">
        <f t="shared" si="1"/>
        <v>0</v>
      </c>
      <c r="H8" s="65">
        <f t="shared" si="1"/>
        <v>0</v>
      </c>
      <c r="I8" s="65">
        <f t="shared" si="1"/>
        <v>0</v>
      </c>
      <c r="K8" s="47" t="str">
        <f>Ομάδες!$D3</f>
        <v>Κροατία</v>
      </c>
      <c r="L8" s="47">
        <f>'Βοηθητικές θέσεις πίνακα'!N4</f>
        <v>0</v>
      </c>
      <c r="M8" s="47">
        <f>'Βοηθητικές θέσεις πίνακα'!P4</f>
        <v>0</v>
      </c>
      <c r="N8" s="47">
        <f>'Βοηθητικές θέσεις πίνακα'!O4</f>
        <v>0</v>
      </c>
      <c r="O8" s="47">
        <f>'Βοηθητικές θέσεις πίνακα'!Q4</f>
        <v>0</v>
      </c>
      <c r="P8" s="47">
        <f>'Βοηθητικές θέσεις πίνακα'!R4</f>
        <v>0</v>
      </c>
      <c r="Q8" s="47">
        <f>O8-P8</f>
        <v>0</v>
      </c>
      <c r="R8" s="47">
        <f>L8*3+M8</f>
        <v>0</v>
      </c>
      <c r="S8" s="47">
        <f>IF(SUM(L8:N8)=0,ROW()-6,RANK(R8,$R$7:$R$10))</f>
        <v>2</v>
      </c>
      <c r="T8" s="47">
        <f>SUMPRODUCT(($R$7:$R$10=R8)*(Q8&lt;$Q$7:$Q$10))</f>
        <v>0</v>
      </c>
      <c r="U8" s="47">
        <f>S8+T8</f>
        <v>2</v>
      </c>
      <c r="V8" s="65">
        <f>RANK(U8,$U$7:$U$10,1)+COUNTIF($U$7:U8,U8)-1</f>
        <v>2</v>
      </c>
      <c r="W8" s="48">
        <f>R8*100+(O8-P8)*10+O8-ROW(K8)*0.01</f>
        <v>-0.08</v>
      </c>
      <c r="X8" s="46">
        <f>RANK(W8,$W$7:$W$10,0)</f>
        <v>2</v>
      </c>
      <c r="Y8" s="49"/>
      <c r="Z8" s="39"/>
      <c r="AA8" s="49"/>
      <c r="AB8" s="49"/>
      <c r="AC8" s="49"/>
      <c r="AD8" s="49"/>
      <c r="AE8" s="49"/>
      <c r="AF8" s="49"/>
      <c r="AG8" s="49"/>
    </row>
    <row r="9" spans="1:33" x14ac:dyDescent="0.2">
      <c r="A9" s="40">
        <v>3</v>
      </c>
      <c r="B9" s="65" t="str">
        <f>INDEX(K$7:K$11,MATCH($A9,$X$7:$X$11,0))</f>
        <v>Μεξικό</v>
      </c>
      <c r="C9" s="65">
        <f t="shared" si="1"/>
        <v>0</v>
      </c>
      <c r="D9" s="65">
        <f t="shared" si="1"/>
        <v>0</v>
      </c>
      <c r="E9" s="65">
        <f t="shared" si="1"/>
        <v>0</v>
      </c>
      <c r="F9" s="65">
        <f t="shared" si="1"/>
        <v>0</v>
      </c>
      <c r="G9" s="65">
        <f t="shared" si="1"/>
        <v>0</v>
      </c>
      <c r="H9" s="65">
        <f t="shared" si="1"/>
        <v>0</v>
      </c>
      <c r="I9" s="65">
        <f t="shared" si="1"/>
        <v>0</v>
      </c>
      <c r="K9" s="47" t="str">
        <f>Ομάδες!$D4</f>
        <v>Μεξικό</v>
      </c>
      <c r="L9" s="47">
        <f>'Βοηθητικές θέσεις πίνακα'!N5</f>
        <v>0</v>
      </c>
      <c r="M9" s="47">
        <f>'Βοηθητικές θέσεις πίνακα'!P5</f>
        <v>0</v>
      </c>
      <c r="N9" s="47">
        <f>'Βοηθητικές θέσεις πίνακα'!O5</f>
        <v>0</v>
      </c>
      <c r="O9" s="47">
        <f>'Βοηθητικές θέσεις πίνακα'!Q5</f>
        <v>0</v>
      </c>
      <c r="P9" s="47">
        <f>'Βοηθητικές θέσεις πίνακα'!R5</f>
        <v>0</v>
      </c>
      <c r="Q9" s="47">
        <f>O9-P9</f>
        <v>0</v>
      </c>
      <c r="R9" s="47">
        <f>L9*3+M9</f>
        <v>0</v>
      </c>
      <c r="S9" s="47">
        <f>IF(SUM(L9:N9)=0,ROW()-6,RANK(R9,$R$7:$R$10))</f>
        <v>3</v>
      </c>
      <c r="T9" s="47">
        <f>SUMPRODUCT(($R$7:$R$10=R9)*(Q9&lt;$Q$7:$Q$10))</f>
        <v>0</v>
      </c>
      <c r="U9" s="47">
        <f>S9+T9</f>
        <v>3</v>
      </c>
      <c r="V9" s="65">
        <f>RANK(U9,$U$7:$U$10,1)+COUNTIF($U$7:U9,U9)-1</f>
        <v>3</v>
      </c>
      <c r="W9" s="48">
        <f>R9*100+(O9-P9)*10+O9-ROW(K9)*0.01</f>
        <v>-0.09</v>
      </c>
      <c r="X9" s="46">
        <f>RANK(W9,$W$7:$W$10,0)</f>
        <v>3</v>
      </c>
      <c r="Y9" s="49"/>
      <c r="Z9" s="39"/>
      <c r="AA9" s="49"/>
      <c r="AB9" s="49"/>
      <c r="AC9" s="49"/>
      <c r="AD9" s="49"/>
      <c r="AE9" s="49"/>
      <c r="AF9" s="49"/>
      <c r="AG9" s="49"/>
    </row>
    <row r="10" spans="1:33" x14ac:dyDescent="0.2">
      <c r="A10" s="40">
        <v>4</v>
      </c>
      <c r="B10" s="65" t="str">
        <f>INDEX(K$7:K$11,MATCH($A10,$X$7:$X$11,0))</f>
        <v>Καμερούν</v>
      </c>
      <c r="C10" s="65">
        <f t="shared" si="1"/>
        <v>0</v>
      </c>
      <c r="D10" s="65">
        <f t="shared" si="1"/>
        <v>0</v>
      </c>
      <c r="E10" s="65">
        <f t="shared" si="1"/>
        <v>0</v>
      </c>
      <c r="F10" s="65">
        <f t="shared" si="1"/>
        <v>0</v>
      </c>
      <c r="G10" s="65">
        <f t="shared" si="1"/>
        <v>0</v>
      </c>
      <c r="H10" s="65">
        <f t="shared" si="1"/>
        <v>0</v>
      </c>
      <c r="I10" s="65">
        <f t="shared" si="1"/>
        <v>0</v>
      </c>
      <c r="K10" s="47" t="str">
        <f>Ομάδες!$D5</f>
        <v>Καμερούν</v>
      </c>
      <c r="L10" s="47">
        <f>'Βοηθητικές θέσεις πίνακα'!N6</f>
        <v>0</v>
      </c>
      <c r="M10" s="47">
        <f>'Βοηθητικές θέσεις πίνακα'!P6</f>
        <v>0</v>
      </c>
      <c r="N10" s="47">
        <f>'Βοηθητικές θέσεις πίνακα'!O6</f>
        <v>0</v>
      </c>
      <c r="O10" s="47">
        <f>'Βοηθητικές θέσεις πίνακα'!Q6</f>
        <v>0</v>
      </c>
      <c r="P10" s="47">
        <f>'Βοηθητικές θέσεις πίνακα'!R6</f>
        <v>0</v>
      </c>
      <c r="Q10" s="47">
        <f>O10-P10</f>
        <v>0</v>
      </c>
      <c r="R10" s="47">
        <f>L10*3+M10</f>
        <v>0</v>
      </c>
      <c r="S10" s="47">
        <f>IF(SUM(L10:N10)=0,ROW()-6,RANK(R10,$R$7:$R$10))</f>
        <v>4</v>
      </c>
      <c r="T10" s="47">
        <f>SUMPRODUCT(($R$7:$R$10=R10)*(Q10&lt;$Q$7:$Q$10))</f>
        <v>0</v>
      </c>
      <c r="U10" s="47">
        <f>S10+T10</f>
        <v>4</v>
      </c>
      <c r="V10" s="65">
        <f>RANK(U10,$U$7:$U$10,1)+COUNTIF($U$7:U10,U10)-1</f>
        <v>4</v>
      </c>
      <c r="W10" s="48">
        <f>R10*100+(O10-P10)*10+O10-ROW(K10)*0.01</f>
        <v>-0.1</v>
      </c>
      <c r="X10" s="46">
        <f>RANK(W10,$W$7:$W$10,0)</f>
        <v>4</v>
      </c>
      <c r="Y10" s="49"/>
      <c r="Z10" s="39"/>
      <c r="AA10" s="49"/>
      <c r="AB10" s="49"/>
      <c r="AC10" s="49"/>
      <c r="AD10" s="49"/>
      <c r="AE10" s="49"/>
      <c r="AF10" s="49"/>
      <c r="AG10" s="49"/>
    </row>
    <row r="11" spans="1:33" x14ac:dyDescent="0.2">
      <c r="A11" s="50"/>
      <c r="B11" s="46"/>
      <c r="C11" s="46"/>
      <c r="D11" s="46"/>
      <c r="E11" s="46"/>
      <c r="F11" s="46"/>
      <c r="G11" s="46"/>
      <c r="H11" s="46"/>
      <c r="I11" s="46"/>
      <c r="J11" s="49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33" x14ac:dyDescent="0.2">
      <c r="K12" s="110" t="s">
        <v>4</v>
      </c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Y12" s="42"/>
      <c r="Z12" s="42"/>
      <c r="AA12" s="42"/>
      <c r="AB12" s="42"/>
      <c r="AC12" s="42"/>
      <c r="AD12" s="42"/>
      <c r="AE12" s="42"/>
      <c r="AF12" s="42"/>
      <c r="AG12" s="42"/>
    </row>
    <row r="13" spans="1:33" x14ac:dyDescent="0.2">
      <c r="A13" s="40" t="s">
        <v>24</v>
      </c>
      <c r="B13" s="66" t="s">
        <v>140</v>
      </c>
      <c r="C13" s="66" t="s">
        <v>143</v>
      </c>
      <c r="D13" s="66" t="s">
        <v>144</v>
      </c>
      <c r="E13" s="66" t="s">
        <v>145</v>
      </c>
      <c r="F13" s="66" t="s">
        <v>147</v>
      </c>
      <c r="G13" s="66" t="s">
        <v>148</v>
      </c>
      <c r="H13" s="66" t="s">
        <v>146</v>
      </c>
      <c r="I13" s="66" t="s">
        <v>149</v>
      </c>
      <c r="K13" s="40" t="s">
        <v>140</v>
      </c>
      <c r="L13" s="66" t="s">
        <v>143</v>
      </c>
      <c r="M13" s="66" t="s">
        <v>144</v>
      </c>
      <c r="N13" s="66" t="s">
        <v>145</v>
      </c>
      <c r="O13" s="66" t="s">
        <v>147</v>
      </c>
      <c r="P13" s="66" t="s">
        <v>148</v>
      </c>
      <c r="Q13" s="66" t="s">
        <v>146</v>
      </c>
      <c r="R13" s="66" t="s">
        <v>149</v>
      </c>
      <c r="S13" s="40" t="s">
        <v>27</v>
      </c>
      <c r="T13" s="40" t="s">
        <v>28</v>
      </c>
      <c r="U13" s="40" t="s">
        <v>29</v>
      </c>
      <c r="V13" s="40" t="s">
        <v>30</v>
      </c>
      <c r="W13" s="43" t="s">
        <v>31</v>
      </c>
      <c r="X13" s="41"/>
      <c r="Y13" s="46"/>
      <c r="Z13" s="46"/>
      <c r="AA13" s="46"/>
      <c r="AB13" s="46"/>
      <c r="AC13" s="46"/>
      <c r="AD13" s="46"/>
      <c r="AE13" s="46"/>
      <c r="AF13" s="46"/>
      <c r="AG13" s="46"/>
    </row>
    <row r="14" spans="1:33" x14ac:dyDescent="0.2">
      <c r="A14" s="40">
        <v>1</v>
      </c>
      <c r="B14" s="65" t="str">
        <f>INDEX(K$14:K$18,MATCH($A14,$X$14:$X$18,0))</f>
        <v>Ισπανία</v>
      </c>
      <c r="C14" s="65">
        <f t="shared" ref="C14:I14" si="2">INDEX(L$14:L$18,MATCH($A14,$X$14:$X$18,0))</f>
        <v>0</v>
      </c>
      <c r="D14" s="65">
        <f t="shared" si="2"/>
        <v>0</v>
      </c>
      <c r="E14" s="65">
        <f t="shared" si="2"/>
        <v>0</v>
      </c>
      <c r="F14" s="65">
        <f t="shared" si="2"/>
        <v>0</v>
      </c>
      <c r="G14" s="65">
        <f t="shared" si="2"/>
        <v>0</v>
      </c>
      <c r="H14" s="65">
        <f t="shared" si="2"/>
        <v>0</v>
      </c>
      <c r="I14" s="65">
        <f t="shared" si="2"/>
        <v>0</v>
      </c>
      <c r="K14" s="47" t="str">
        <f>Ομάδες!D7</f>
        <v>Ισπανία</v>
      </c>
      <c r="L14" s="47">
        <f>'Βοηθητικές θέσεις πίνακα'!N10</f>
        <v>0</v>
      </c>
      <c r="M14" s="47">
        <f>'Βοηθητικές θέσεις πίνακα'!P10</f>
        <v>0</v>
      </c>
      <c r="N14" s="47">
        <f>'Βοηθητικές θέσεις πίνακα'!O10</f>
        <v>0</v>
      </c>
      <c r="O14" s="47">
        <f>'Βοηθητικές θέσεις πίνακα'!Q10</f>
        <v>0</v>
      </c>
      <c r="P14" s="47">
        <f>'Βοηθητικές θέσεις πίνακα'!R10</f>
        <v>0</v>
      </c>
      <c r="Q14" s="47">
        <f>O14-P14</f>
        <v>0</v>
      </c>
      <c r="R14" s="47">
        <f>L14*3+M14</f>
        <v>0</v>
      </c>
      <c r="S14" s="47">
        <f>IF(SUM(L14:N14)=0,ROW()-13,RANK(R14,$R$14:$R$17))</f>
        <v>1</v>
      </c>
      <c r="T14" s="47">
        <f>SUMPRODUCT(($R$14:$R$17=R14)*(Q14&lt;$Q$14:$Q$17))</f>
        <v>0</v>
      </c>
      <c r="U14" s="47">
        <f>S14+T14</f>
        <v>1</v>
      </c>
      <c r="V14" s="65">
        <f>RANK(U14,$U$14:$U$17,1)+COUNTIF($U$14:U14,U14)-1</f>
        <v>1</v>
      </c>
      <c r="W14" s="48">
        <f>R14*100+(O14-P14)*10+O14-ROW(K14)*0.01</f>
        <v>-0.14000000000000001</v>
      </c>
      <c r="X14" s="46">
        <f>RANK(W14,$W$14:$W$17,0)</f>
        <v>1</v>
      </c>
      <c r="Y14" s="49"/>
      <c r="Z14" s="49"/>
      <c r="AA14" s="49"/>
      <c r="AB14" s="49"/>
      <c r="AC14" s="49"/>
      <c r="AD14" s="49"/>
      <c r="AE14" s="49"/>
      <c r="AF14" s="49"/>
      <c r="AG14" s="49"/>
    </row>
    <row r="15" spans="1:33" x14ac:dyDescent="0.2">
      <c r="A15" s="40">
        <v>2</v>
      </c>
      <c r="B15" s="65" t="str">
        <f>INDEX(K$14:K$18,MATCH($A15,$X$14:$X$18,0))</f>
        <v>Ολλανδία</v>
      </c>
      <c r="C15" s="65">
        <f t="shared" ref="C15:I17" si="3">INDEX(L$14:L$18,MATCH($A15,$X$14:$X$18,0))</f>
        <v>0</v>
      </c>
      <c r="D15" s="65">
        <f t="shared" si="3"/>
        <v>0</v>
      </c>
      <c r="E15" s="65">
        <f t="shared" si="3"/>
        <v>0</v>
      </c>
      <c r="F15" s="65">
        <f t="shared" si="3"/>
        <v>0</v>
      </c>
      <c r="G15" s="65">
        <f t="shared" si="3"/>
        <v>0</v>
      </c>
      <c r="H15" s="65">
        <f t="shared" si="3"/>
        <v>0</v>
      </c>
      <c r="I15" s="65">
        <f t="shared" si="3"/>
        <v>0</v>
      </c>
      <c r="K15" s="47" t="str">
        <f>Ομάδες!D8</f>
        <v>Ολλανδία</v>
      </c>
      <c r="L15" s="47">
        <f>'Βοηθητικές θέσεις πίνακα'!N11</f>
        <v>0</v>
      </c>
      <c r="M15" s="47">
        <f>'Βοηθητικές θέσεις πίνακα'!P11</f>
        <v>0</v>
      </c>
      <c r="N15" s="47">
        <f>'Βοηθητικές θέσεις πίνακα'!O11</f>
        <v>0</v>
      </c>
      <c r="O15" s="47">
        <f>'Βοηθητικές θέσεις πίνακα'!Q11</f>
        <v>0</v>
      </c>
      <c r="P15" s="47">
        <f>'Βοηθητικές θέσεις πίνακα'!R11</f>
        <v>0</v>
      </c>
      <c r="Q15" s="47">
        <f>O15-P15</f>
        <v>0</v>
      </c>
      <c r="R15" s="47">
        <f>L15*3+M15</f>
        <v>0</v>
      </c>
      <c r="S15" s="47">
        <f>IF(SUM(L15:N15)=0,ROW()-13,RANK(R15,$R$14:$R$17))</f>
        <v>2</v>
      </c>
      <c r="T15" s="47">
        <f>SUMPRODUCT(($R$14:$R$17=R15)*(Q15&lt;$Q$14:$Q$17))</f>
        <v>0</v>
      </c>
      <c r="U15" s="47">
        <f>S15+T15</f>
        <v>2</v>
      </c>
      <c r="V15" s="65">
        <f>RANK(U15,$U$14:$U$18,1)+COUNTIF($U$14:U15,U15)-1</f>
        <v>2</v>
      </c>
      <c r="W15" s="48">
        <f>R15*100+(O15-P15)*10+O15-ROW(K15)*0.01</f>
        <v>-0.15</v>
      </c>
      <c r="X15" s="46">
        <f>RANK(W15,$W$14:$W$17,0)</f>
        <v>2</v>
      </c>
      <c r="Y15" s="49"/>
      <c r="Z15" s="49"/>
      <c r="AA15" s="49"/>
      <c r="AB15" s="49"/>
      <c r="AC15" s="49"/>
      <c r="AD15" s="49"/>
      <c r="AE15" s="49"/>
      <c r="AF15" s="49"/>
      <c r="AG15" s="49"/>
    </row>
    <row r="16" spans="1:33" x14ac:dyDescent="0.2">
      <c r="A16" s="40">
        <v>3</v>
      </c>
      <c r="B16" s="65" t="str">
        <f>INDEX(K$14:K$18,MATCH($A16,$X$14:$X$18,0))</f>
        <v>Χιλή</v>
      </c>
      <c r="C16" s="65">
        <f t="shared" si="3"/>
        <v>0</v>
      </c>
      <c r="D16" s="65">
        <f t="shared" si="3"/>
        <v>0</v>
      </c>
      <c r="E16" s="65">
        <f t="shared" si="3"/>
        <v>0</v>
      </c>
      <c r="F16" s="65">
        <f t="shared" si="3"/>
        <v>0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K16" s="47" t="str">
        <f>Ομάδες!D9</f>
        <v>Χιλή</v>
      </c>
      <c r="L16" s="47">
        <f>'Βοηθητικές θέσεις πίνακα'!N12</f>
        <v>0</v>
      </c>
      <c r="M16" s="47">
        <f>'Βοηθητικές θέσεις πίνακα'!P12</f>
        <v>0</v>
      </c>
      <c r="N16" s="47">
        <f>'Βοηθητικές θέσεις πίνακα'!O12</f>
        <v>0</v>
      </c>
      <c r="O16" s="47">
        <f>'Βοηθητικές θέσεις πίνακα'!Q12</f>
        <v>0</v>
      </c>
      <c r="P16" s="47">
        <f>'Βοηθητικές θέσεις πίνακα'!R12</f>
        <v>0</v>
      </c>
      <c r="Q16" s="47">
        <f>O16-P16</f>
        <v>0</v>
      </c>
      <c r="R16" s="47">
        <f>L16*3+M16</f>
        <v>0</v>
      </c>
      <c r="S16" s="47">
        <f>IF(SUM(L16:N16)=0,ROW()-13,RANK(R16,$R$14:$R$17))</f>
        <v>3</v>
      </c>
      <c r="T16" s="47">
        <f>SUMPRODUCT(($R$14:$R$17=R16)*(Q16&lt;$Q$14:$Q$17))</f>
        <v>0</v>
      </c>
      <c r="U16" s="47">
        <f>S16+T16</f>
        <v>3</v>
      </c>
      <c r="V16" s="65">
        <f>RANK(U16,$U$14:$U$18,1)+COUNTIF($U$14:U16,U16)-1</f>
        <v>3</v>
      </c>
      <c r="W16" s="48">
        <f>R16*100+(O16-P16)*10+O16-ROW(K16)*0.01</f>
        <v>-0.16</v>
      </c>
      <c r="X16" s="46">
        <f>RANK(W16,$W$14:$W$17,0)</f>
        <v>3</v>
      </c>
      <c r="Y16" s="49"/>
      <c r="Z16" s="49"/>
      <c r="AA16" s="49"/>
      <c r="AB16" s="49"/>
      <c r="AC16" s="49"/>
      <c r="AD16" s="49"/>
      <c r="AE16" s="49"/>
      <c r="AF16" s="49"/>
      <c r="AG16" s="49"/>
    </row>
    <row r="17" spans="1:33" x14ac:dyDescent="0.2">
      <c r="A17" s="40">
        <v>4</v>
      </c>
      <c r="B17" s="65" t="str">
        <f>INDEX(K$14:K$18,MATCH($A17,$X$14:$X$18,0))</f>
        <v>Αυστραλία</v>
      </c>
      <c r="C17" s="65">
        <f t="shared" si="3"/>
        <v>0</v>
      </c>
      <c r="D17" s="65">
        <f t="shared" si="3"/>
        <v>0</v>
      </c>
      <c r="E17" s="65">
        <f t="shared" si="3"/>
        <v>0</v>
      </c>
      <c r="F17" s="65">
        <f t="shared" si="3"/>
        <v>0</v>
      </c>
      <c r="G17" s="65">
        <f t="shared" si="3"/>
        <v>0</v>
      </c>
      <c r="H17" s="65">
        <f t="shared" si="3"/>
        <v>0</v>
      </c>
      <c r="I17" s="65">
        <f t="shared" si="3"/>
        <v>0</v>
      </c>
      <c r="K17" s="47" t="str">
        <f>Ομάδες!D10</f>
        <v>Αυστραλία</v>
      </c>
      <c r="L17" s="47">
        <f>'Βοηθητικές θέσεις πίνακα'!N13</f>
        <v>0</v>
      </c>
      <c r="M17" s="47">
        <f>'Βοηθητικές θέσεις πίνακα'!P13</f>
        <v>0</v>
      </c>
      <c r="N17" s="47">
        <f>'Βοηθητικές θέσεις πίνακα'!O13</f>
        <v>0</v>
      </c>
      <c r="O17" s="47">
        <f>'Βοηθητικές θέσεις πίνακα'!Q13</f>
        <v>0</v>
      </c>
      <c r="P17" s="47">
        <f>'Βοηθητικές θέσεις πίνακα'!R13</f>
        <v>0</v>
      </c>
      <c r="Q17" s="47">
        <f>O17-P17</f>
        <v>0</v>
      </c>
      <c r="R17" s="47">
        <f>L17*3+M17</f>
        <v>0</v>
      </c>
      <c r="S17" s="47">
        <f>IF(SUM(L17:N17)=0,ROW()-13,RANK(R17,$R$14:$R$17))</f>
        <v>4</v>
      </c>
      <c r="T17" s="47">
        <f>SUMPRODUCT(($R$14:$R$17=R17)*(Q17&lt;$Q$14:$Q$17))</f>
        <v>0</v>
      </c>
      <c r="U17" s="47">
        <f>S17+T17</f>
        <v>4</v>
      </c>
      <c r="V17" s="65">
        <f>RANK(U17,$U$14:$U$18,1)+COUNTIF($U$14:U17,U17)-1</f>
        <v>4</v>
      </c>
      <c r="W17" s="48">
        <f>R17*100+(O17-P17)*10+O17-ROW(K17)*0.01</f>
        <v>-0.17</v>
      </c>
      <c r="X17" s="46">
        <f>RANK(W17,$W$14:$W$17,0)</f>
        <v>4</v>
      </c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3" x14ac:dyDescent="0.2">
      <c r="X18" s="41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33" x14ac:dyDescent="0.2">
      <c r="K19" s="110" t="s">
        <v>11</v>
      </c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X19" s="41"/>
      <c r="Y19" s="42"/>
      <c r="Z19" s="42"/>
      <c r="AA19" s="42"/>
      <c r="AB19" s="42"/>
      <c r="AC19" s="42"/>
      <c r="AD19" s="42"/>
      <c r="AE19" s="42"/>
      <c r="AF19" s="42"/>
      <c r="AG19" s="42"/>
    </row>
    <row r="20" spans="1:33" x14ac:dyDescent="0.2">
      <c r="A20" s="40" t="s">
        <v>24</v>
      </c>
      <c r="B20" s="66" t="s">
        <v>140</v>
      </c>
      <c r="C20" s="66" t="s">
        <v>143</v>
      </c>
      <c r="D20" s="66" t="s">
        <v>144</v>
      </c>
      <c r="E20" s="66" t="s">
        <v>145</v>
      </c>
      <c r="F20" s="66" t="s">
        <v>147</v>
      </c>
      <c r="G20" s="66" t="s">
        <v>148</v>
      </c>
      <c r="H20" s="66" t="s">
        <v>146</v>
      </c>
      <c r="I20" s="66" t="s">
        <v>149</v>
      </c>
      <c r="K20" s="40" t="s">
        <v>140</v>
      </c>
      <c r="L20" s="66" t="s">
        <v>143</v>
      </c>
      <c r="M20" s="66" t="s">
        <v>144</v>
      </c>
      <c r="N20" s="66" t="s">
        <v>145</v>
      </c>
      <c r="O20" s="66" t="s">
        <v>147</v>
      </c>
      <c r="P20" s="66" t="s">
        <v>148</v>
      </c>
      <c r="Q20" s="66" t="s">
        <v>146</v>
      </c>
      <c r="R20" s="66" t="s">
        <v>149</v>
      </c>
      <c r="S20" s="40" t="s">
        <v>27</v>
      </c>
      <c r="T20" s="40" t="s">
        <v>28</v>
      </c>
      <c r="U20" s="40" t="s">
        <v>29</v>
      </c>
      <c r="V20" s="40" t="s">
        <v>30</v>
      </c>
      <c r="W20" s="43" t="s">
        <v>31</v>
      </c>
      <c r="X20" s="41"/>
      <c r="Y20" s="46"/>
      <c r="Z20" s="46"/>
      <c r="AA20" s="46"/>
      <c r="AB20" s="46"/>
      <c r="AC20" s="46"/>
      <c r="AD20" s="46"/>
      <c r="AE20" s="46"/>
      <c r="AF20" s="46"/>
      <c r="AG20" s="46"/>
    </row>
    <row r="21" spans="1:33" x14ac:dyDescent="0.2">
      <c r="A21" s="40">
        <v>1</v>
      </c>
      <c r="B21" s="65" t="str">
        <f>INDEX(K$21:K$25,MATCH($A21,$X$21:$X$25,0))</f>
        <v>Κολομβία</v>
      </c>
      <c r="C21" s="65">
        <f t="shared" ref="C21:I21" si="4">INDEX(L$21:L$25,MATCH($A21,$X$21:$X$25,0))</f>
        <v>0</v>
      </c>
      <c r="D21" s="65">
        <f t="shared" si="4"/>
        <v>0</v>
      </c>
      <c r="E21" s="65">
        <f t="shared" si="4"/>
        <v>0</v>
      </c>
      <c r="F21" s="65">
        <f t="shared" si="4"/>
        <v>0</v>
      </c>
      <c r="G21" s="65">
        <f t="shared" si="4"/>
        <v>0</v>
      </c>
      <c r="H21" s="65">
        <f t="shared" si="4"/>
        <v>0</v>
      </c>
      <c r="I21" s="65">
        <f t="shared" si="4"/>
        <v>0</v>
      </c>
      <c r="K21" s="47" t="str">
        <f>Ομάδες!$D12</f>
        <v>Κολομβία</v>
      </c>
      <c r="L21" s="47">
        <f>'Βοηθητικές θέσεις πίνακα'!N17</f>
        <v>0</v>
      </c>
      <c r="M21" s="47">
        <f>'Βοηθητικές θέσεις πίνακα'!P17</f>
        <v>0</v>
      </c>
      <c r="N21" s="47">
        <f>'Βοηθητικές θέσεις πίνακα'!O17</f>
        <v>0</v>
      </c>
      <c r="O21" s="47">
        <f>'Βοηθητικές θέσεις πίνακα'!Q17</f>
        <v>0</v>
      </c>
      <c r="P21" s="47">
        <f>'Βοηθητικές θέσεις πίνακα'!R17</f>
        <v>0</v>
      </c>
      <c r="Q21" s="47">
        <f>O21-P21</f>
        <v>0</v>
      </c>
      <c r="R21" s="47">
        <f>L21*3+M21</f>
        <v>0</v>
      </c>
      <c r="S21" s="47">
        <f>IF(SUM(L21:N21)=0,ROW()-20,RANK(R21,$R$21:$R$24))</f>
        <v>1</v>
      </c>
      <c r="T21" s="47">
        <f>SUMPRODUCT(($R$21:$R$24=R21)*(Q21&lt;$Q$21:$Q$24))</f>
        <v>0</v>
      </c>
      <c r="U21" s="47">
        <f>S21+T21</f>
        <v>1</v>
      </c>
      <c r="V21" s="65">
        <f>RANK(U21,$U$21:$U$24,1)+COUNTIF($U$21:U21,U21)-1</f>
        <v>1</v>
      </c>
      <c r="W21" s="48">
        <f>R21*100+(O21-P21)*10+O21-ROW(K21)*0.01</f>
        <v>-0.21</v>
      </c>
      <c r="X21" s="46">
        <f>RANK(W21,$W$21:$W$24,0)</f>
        <v>1</v>
      </c>
      <c r="Y21" s="49"/>
      <c r="Z21" s="49"/>
      <c r="AA21" s="49"/>
      <c r="AB21" s="49"/>
      <c r="AC21" s="49"/>
      <c r="AD21" s="49"/>
      <c r="AE21" s="49"/>
      <c r="AF21" s="49"/>
      <c r="AG21" s="49"/>
    </row>
    <row r="22" spans="1:33" x14ac:dyDescent="0.2">
      <c r="A22" s="40">
        <v>2</v>
      </c>
      <c r="B22" s="65" t="str">
        <f>INDEX(K$21:K$25,MATCH($A22,$X$21:$X$25,0))</f>
        <v>Ελλάδα</v>
      </c>
      <c r="C22" s="65">
        <f t="shared" ref="C22:I24" si="5">INDEX(L$21:L$25,MATCH($A22,$X$21:$X$25,0))</f>
        <v>0</v>
      </c>
      <c r="D22" s="65">
        <f t="shared" si="5"/>
        <v>0</v>
      </c>
      <c r="E22" s="65">
        <f t="shared" si="5"/>
        <v>0</v>
      </c>
      <c r="F22" s="65">
        <f t="shared" si="5"/>
        <v>0</v>
      </c>
      <c r="G22" s="65">
        <f t="shared" si="5"/>
        <v>0</v>
      </c>
      <c r="H22" s="65">
        <f t="shared" si="5"/>
        <v>0</v>
      </c>
      <c r="I22" s="65">
        <f t="shared" si="5"/>
        <v>0</v>
      </c>
      <c r="K22" s="47" t="str">
        <f>Ομάδες!$D13</f>
        <v>Ελλάδα</v>
      </c>
      <c r="L22" s="47">
        <f>'Βοηθητικές θέσεις πίνακα'!N18</f>
        <v>0</v>
      </c>
      <c r="M22" s="47">
        <f>'Βοηθητικές θέσεις πίνακα'!P18</f>
        <v>0</v>
      </c>
      <c r="N22" s="47">
        <f>'Βοηθητικές θέσεις πίνακα'!O18</f>
        <v>0</v>
      </c>
      <c r="O22" s="47">
        <f>'Βοηθητικές θέσεις πίνακα'!Q18</f>
        <v>0</v>
      </c>
      <c r="P22" s="47">
        <f>'Βοηθητικές θέσεις πίνακα'!R18</f>
        <v>0</v>
      </c>
      <c r="Q22" s="47">
        <f>O22-P22</f>
        <v>0</v>
      </c>
      <c r="R22" s="47">
        <f>L22*3+M22</f>
        <v>0</v>
      </c>
      <c r="S22" s="47">
        <f>IF(SUM(L22:N22)=0,ROW()-20,RANK(R22,$R$21:$R$24))</f>
        <v>2</v>
      </c>
      <c r="T22" s="47">
        <f>SUMPRODUCT(($R$21:$R$24=R22)*(Q22&lt;$Q$21:$Q$24))</f>
        <v>0</v>
      </c>
      <c r="U22" s="47">
        <f>S22+T22</f>
        <v>2</v>
      </c>
      <c r="V22" s="65">
        <f>RANK(U22,$U$21:$U$24,1)+COUNTIF($U$21:U22,U22)-1</f>
        <v>2</v>
      </c>
      <c r="W22" s="48">
        <f>R22*100+(O22-P22)*10+O22-ROW(K22)*0.01</f>
        <v>-0.22</v>
      </c>
      <c r="X22" s="46">
        <f>RANK(W22,$W$21:$W$24,0)</f>
        <v>2</v>
      </c>
      <c r="Y22" s="49"/>
      <c r="Z22" s="49"/>
      <c r="AA22" s="49"/>
      <c r="AB22" s="49"/>
      <c r="AC22" s="49"/>
      <c r="AD22" s="49"/>
      <c r="AE22" s="49"/>
      <c r="AF22" s="49"/>
      <c r="AG22" s="49"/>
    </row>
    <row r="23" spans="1:33" x14ac:dyDescent="0.2">
      <c r="A23" s="40">
        <v>3</v>
      </c>
      <c r="B23" s="65" t="str">
        <f>INDEX(K$21:K$25,MATCH($A23,$X$21:$X$25,0))</f>
        <v>Ακτή Ελεφαντοστού</v>
      </c>
      <c r="C23" s="65">
        <f t="shared" si="5"/>
        <v>0</v>
      </c>
      <c r="D23" s="65">
        <f t="shared" si="5"/>
        <v>0</v>
      </c>
      <c r="E23" s="65">
        <f t="shared" si="5"/>
        <v>0</v>
      </c>
      <c r="F23" s="65">
        <f t="shared" si="5"/>
        <v>0</v>
      </c>
      <c r="G23" s="65">
        <f t="shared" si="5"/>
        <v>0</v>
      </c>
      <c r="H23" s="65">
        <f t="shared" si="5"/>
        <v>0</v>
      </c>
      <c r="I23" s="65">
        <f t="shared" si="5"/>
        <v>0</v>
      </c>
      <c r="K23" s="47" t="str">
        <f>Ομάδες!$D14</f>
        <v>Ακτή Ελεφαντοστού</v>
      </c>
      <c r="L23" s="47">
        <f>'Βοηθητικές θέσεις πίνακα'!N19</f>
        <v>0</v>
      </c>
      <c r="M23" s="47">
        <f>'Βοηθητικές θέσεις πίνακα'!P19</f>
        <v>0</v>
      </c>
      <c r="N23" s="47">
        <f>'Βοηθητικές θέσεις πίνακα'!O19</f>
        <v>0</v>
      </c>
      <c r="O23" s="47">
        <f>'Βοηθητικές θέσεις πίνακα'!Q19</f>
        <v>0</v>
      </c>
      <c r="P23" s="47">
        <f>'Βοηθητικές θέσεις πίνακα'!R19</f>
        <v>0</v>
      </c>
      <c r="Q23" s="47">
        <f>O23-P23</f>
        <v>0</v>
      </c>
      <c r="R23" s="47">
        <f>L23*3+M23</f>
        <v>0</v>
      </c>
      <c r="S23" s="47">
        <f>IF(SUM(L23:N23)=0,ROW()-20,RANK(R23,$R$21:$R$24))</f>
        <v>3</v>
      </c>
      <c r="T23" s="47">
        <f>SUMPRODUCT(($R$21:$R$24=R23)*(Q23&lt;$Q$21:$Q$24))</f>
        <v>0</v>
      </c>
      <c r="U23" s="47">
        <f>S23+T23</f>
        <v>3</v>
      </c>
      <c r="V23" s="65">
        <f>RANK(U23,$U$21:$U$24,1)+COUNTIF($U$21:U23,U23)-1</f>
        <v>3</v>
      </c>
      <c r="W23" s="48">
        <f>R23*100+(O23-P23)*10+O23-ROW(K23)*0.01</f>
        <v>-0.23</v>
      </c>
      <c r="X23" s="46">
        <f>RANK(W23,$W$21:$W$24,0)</f>
        <v>3</v>
      </c>
      <c r="Y23" s="49"/>
      <c r="Z23" s="49"/>
      <c r="AA23" s="49"/>
      <c r="AB23" s="49"/>
      <c r="AC23" s="49"/>
      <c r="AD23" s="49"/>
      <c r="AE23" s="49"/>
      <c r="AF23" s="49"/>
      <c r="AG23" s="49"/>
    </row>
    <row r="24" spans="1:33" x14ac:dyDescent="0.2">
      <c r="A24" s="40">
        <v>4</v>
      </c>
      <c r="B24" s="65" t="str">
        <f>INDEX(K$21:K$25,MATCH($A24,$X$21:$X$25,0))</f>
        <v>Ιαπωνία</v>
      </c>
      <c r="C24" s="65">
        <f t="shared" si="5"/>
        <v>0</v>
      </c>
      <c r="D24" s="65">
        <f t="shared" si="5"/>
        <v>0</v>
      </c>
      <c r="E24" s="65">
        <f t="shared" si="5"/>
        <v>0</v>
      </c>
      <c r="F24" s="65">
        <f t="shared" si="5"/>
        <v>0</v>
      </c>
      <c r="G24" s="65">
        <f t="shared" si="5"/>
        <v>0</v>
      </c>
      <c r="H24" s="65">
        <f t="shared" si="5"/>
        <v>0</v>
      </c>
      <c r="I24" s="65">
        <f t="shared" si="5"/>
        <v>0</v>
      </c>
      <c r="K24" s="47" t="str">
        <f>Ομάδες!$D15</f>
        <v>Ιαπωνία</v>
      </c>
      <c r="L24" s="47">
        <f>'Βοηθητικές θέσεις πίνακα'!N20</f>
        <v>0</v>
      </c>
      <c r="M24" s="47">
        <f>'Βοηθητικές θέσεις πίνακα'!P20</f>
        <v>0</v>
      </c>
      <c r="N24" s="47">
        <f>'Βοηθητικές θέσεις πίνακα'!O20</f>
        <v>0</v>
      </c>
      <c r="O24" s="47">
        <f>'Βοηθητικές θέσεις πίνακα'!Q20</f>
        <v>0</v>
      </c>
      <c r="P24" s="47">
        <f>'Βοηθητικές θέσεις πίνακα'!R20</f>
        <v>0</v>
      </c>
      <c r="Q24" s="47">
        <f>O24-P24</f>
        <v>0</v>
      </c>
      <c r="R24" s="47">
        <f>L24*3+M24</f>
        <v>0</v>
      </c>
      <c r="S24" s="47">
        <f>IF(SUM(L24:N24)=0,ROW()-20,RANK(R24,$R$21:$R$24))</f>
        <v>4</v>
      </c>
      <c r="T24" s="47">
        <f>SUMPRODUCT(($R$21:$R$24=R24)*(Q24&lt;$Q$21:$Q$24))</f>
        <v>0</v>
      </c>
      <c r="U24" s="47">
        <f>S24+T24</f>
        <v>4</v>
      </c>
      <c r="V24" s="65">
        <f>RANK(U24,$U$21:$U$24,1)+COUNTIF($U$21:U24,U24)-1</f>
        <v>4</v>
      </c>
      <c r="W24" s="48">
        <f>R24*100+(O24-P24)*10+O24-ROW(K24)*0.01</f>
        <v>-0.24</v>
      </c>
      <c r="X24" s="46">
        <f>RANK(W24,$W$21:$W$24,0)</f>
        <v>4</v>
      </c>
      <c r="Y24" s="49"/>
      <c r="Z24" s="49"/>
      <c r="AA24" s="49"/>
      <c r="AB24" s="49"/>
      <c r="AC24" s="49"/>
      <c r="AD24" s="49"/>
      <c r="AE24" s="49"/>
      <c r="AF24" s="49"/>
      <c r="AG24" s="49"/>
    </row>
    <row r="25" spans="1:33" x14ac:dyDescent="0.2">
      <c r="X25" s="41"/>
      <c r="Y25" s="49"/>
      <c r="Z25" s="49"/>
      <c r="AA25" s="49"/>
      <c r="AB25" s="49"/>
      <c r="AC25" s="49"/>
      <c r="AD25" s="49"/>
      <c r="AE25" s="49"/>
      <c r="AF25" s="49"/>
      <c r="AG25" s="49"/>
    </row>
    <row r="26" spans="1:33" x14ac:dyDescent="0.2">
      <c r="K26" s="110" t="s">
        <v>6</v>
      </c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X26" s="41"/>
      <c r="Y26" s="42"/>
      <c r="Z26" s="42"/>
      <c r="AA26" s="42"/>
      <c r="AB26" s="42"/>
      <c r="AC26" s="42"/>
      <c r="AD26" s="42"/>
      <c r="AE26" s="42"/>
      <c r="AF26" s="42"/>
      <c r="AG26" s="42"/>
    </row>
    <row r="27" spans="1:33" x14ac:dyDescent="0.2">
      <c r="A27" s="40" t="s">
        <v>24</v>
      </c>
      <c r="B27" s="66" t="s">
        <v>140</v>
      </c>
      <c r="C27" s="66" t="s">
        <v>143</v>
      </c>
      <c r="D27" s="66" t="s">
        <v>144</v>
      </c>
      <c r="E27" s="66" t="s">
        <v>145</v>
      </c>
      <c r="F27" s="66" t="s">
        <v>147</v>
      </c>
      <c r="G27" s="66" t="s">
        <v>148</v>
      </c>
      <c r="H27" s="66" t="s">
        <v>146</v>
      </c>
      <c r="I27" s="66" t="s">
        <v>149</v>
      </c>
      <c r="K27" s="40" t="s">
        <v>140</v>
      </c>
      <c r="L27" s="66" t="s">
        <v>143</v>
      </c>
      <c r="M27" s="66" t="s">
        <v>144</v>
      </c>
      <c r="N27" s="66" t="s">
        <v>145</v>
      </c>
      <c r="O27" s="66" t="s">
        <v>147</v>
      </c>
      <c r="P27" s="66" t="s">
        <v>148</v>
      </c>
      <c r="Q27" s="66" t="s">
        <v>146</v>
      </c>
      <c r="R27" s="66" t="s">
        <v>149</v>
      </c>
      <c r="S27" s="40" t="s">
        <v>27</v>
      </c>
      <c r="T27" s="40" t="s">
        <v>28</v>
      </c>
      <c r="U27" s="40" t="s">
        <v>29</v>
      </c>
      <c r="V27" s="40" t="s">
        <v>30</v>
      </c>
      <c r="W27" s="43" t="s">
        <v>31</v>
      </c>
      <c r="X27" s="41"/>
      <c r="Y27" s="46"/>
      <c r="Z27" s="46"/>
      <c r="AA27" s="46"/>
      <c r="AB27" s="46"/>
      <c r="AC27" s="46"/>
      <c r="AD27" s="46"/>
      <c r="AE27" s="46"/>
      <c r="AF27" s="46"/>
      <c r="AG27" s="46"/>
    </row>
    <row r="28" spans="1:33" x14ac:dyDescent="0.2">
      <c r="A28" s="40">
        <v>1</v>
      </c>
      <c r="B28" s="65" t="str">
        <f>INDEX(K$28:K$32,MATCH($A28,$X$28:$X$32,0))</f>
        <v>Ουρουγουάη</v>
      </c>
      <c r="C28" s="65">
        <f t="shared" ref="C28:I28" si="6">INDEX(L$28:L$32,MATCH($A28,$X$28:$X$32,0))</f>
        <v>0</v>
      </c>
      <c r="D28" s="65">
        <f t="shared" si="6"/>
        <v>0</v>
      </c>
      <c r="E28" s="65">
        <f t="shared" si="6"/>
        <v>0</v>
      </c>
      <c r="F28" s="65">
        <f t="shared" si="6"/>
        <v>0</v>
      </c>
      <c r="G28" s="65">
        <f t="shared" si="6"/>
        <v>0</v>
      </c>
      <c r="H28" s="65">
        <f t="shared" si="6"/>
        <v>0</v>
      </c>
      <c r="I28" s="65">
        <f t="shared" si="6"/>
        <v>0</v>
      </c>
      <c r="K28" s="47" t="str">
        <f>Ομάδες!$D17</f>
        <v>Ουρουγουάη</v>
      </c>
      <c r="L28" s="47">
        <f>'Βοηθητικές θέσεις πίνακα'!N24</f>
        <v>0</v>
      </c>
      <c r="M28" s="47">
        <f>'Βοηθητικές θέσεις πίνακα'!P24</f>
        <v>0</v>
      </c>
      <c r="N28" s="47">
        <f>'Βοηθητικές θέσεις πίνακα'!O24</f>
        <v>0</v>
      </c>
      <c r="O28" s="47">
        <f>'Βοηθητικές θέσεις πίνακα'!Q24</f>
        <v>0</v>
      </c>
      <c r="P28" s="47">
        <f>'Βοηθητικές θέσεις πίνακα'!R24</f>
        <v>0</v>
      </c>
      <c r="Q28" s="47">
        <f>O28-P28</f>
        <v>0</v>
      </c>
      <c r="R28" s="47">
        <f>L28*3+M28</f>
        <v>0</v>
      </c>
      <c r="S28" s="47">
        <f>IF(SUM(L28:N28)=0,ROW()-27,RANK(R28,$R$28:$R$31))</f>
        <v>1</v>
      </c>
      <c r="T28" s="47">
        <f>SUMPRODUCT(($R$28:$R$32=R28)*(Q28&lt;$Q$28:$Q$32))</f>
        <v>0</v>
      </c>
      <c r="U28" s="47">
        <f>S28+T28</f>
        <v>1</v>
      </c>
      <c r="V28" s="65">
        <f>RANK(U28,$U$28:$U$31,1)+COUNTIF($U$28:U28,U28)-1</f>
        <v>1</v>
      </c>
      <c r="W28" s="48">
        <f>R28*100+(O28-P28)*10+O28-ROW(K28)*0.01</f>
        <v>-0.28000000000000003</v>
      </c>
      <c r="X28" s="46">
        <f>RANK(W28,$W$28:$W$31,0)</f>
        <v>1</v>
      </c>
      <c r="Y28" s="49"/>
      <c r="Z28" s="49"/>
      <c r="AA28" s="49"/>
      <c r="AB28" s="49"/>
      <c r="AC28" s="49"/>
      <c r="AD28" s="49"/>
      <c r="AE28" s="49"/>
      <c r="AF28" s="49"/>
      <c r="AG28" s="49"/>
    </row>
    <row r="29" spans="1:33" x14ac:dyDescent="0.2">
      <c r="A29" s="40">
        <v>2</v>
      </c>
      <c r="B29" s="65" t="str">
        <f>INDEX(K$28:K$32,MATCH($A29,$X$28:$X$32,0))</f>
        <v>Κόστα Ρίκα</v>
      </c>
      <c r="C29" s="65">
        <f t="shared" ref="C29:I31" si="7">INDEX(L$28:L$32,MATCH($A29,$X$28:$X$32,0))</f>
        <v>0</v>
      </c>
      <c r="D29" s="65">
        <f t="shared" si="7"/>
        <v>0</v>
      </c>
      <c r="E29" s="65">
        <f t="shared" si="7"/>
        <v>0</v>
      </c>
      <c r="F29" s="65">
        <f t="shared" si="7"/>
        <v>0</v>
      </c>
      <c r="G29" s="65">
        <f t="shared" si="7"/>
        <v>0</v>
      </c>
      <c r="H29" s="65">
        <f t="shared" si="7"/>
        <v>0</v>
      </c>
      <c r="I29" s="65">
        <f t="shared" si="7"/>
        <v>0</v>
      </c>
      <c r="K29" s="47" t="str">
        <f>Ομάδες!$D18</f>
        <v>Κόστα Ρίκα</v>
      </c>
      <c r="L29" s="47">
        <f>'Βοηθητικές θέσεις πίνακα'!N25</f>
        <v>0</v>
      </c>
      <c r="M29" s="47">
        <f>'Βοηθητικές θέσεις πίνακα'!P25</f>
        <v>0</v>
      </c>
      <c r="N29" s="47">
        <f>'Βοηθητικές θέσεις πίνακα'!O25</f>
        <v>0</v>
      </c>
      <c r="O29" s="47">
        <f>'Βοηθητικές θέσεις πίνακα'!Q25</f>
        <v>0</v>
      </c>
      <c r="P29" s="47">
        <f>'Βοηθητικές θέσεις πίνακα'!R25</f>
        <v>0</v>
      </c>
      <c r="Q29" s="47">
        <f>O29-P29</f>
        <v>0</v>
      </c>
      <c r="R29" s="47">
        <f>L29*3+M29</f>
        <v>0</v>
      </c>
      <c r="S29" s="47">
        <f>IF(SUM(L29:N29)=0,ROW()-27,RANK(R29,$R$28:$R$31))</f>
        <v>2</v>
      </c>
      <c r="T29" s="47">
        <f>SUMPRODUCT(($R$28:$R$32=R29)*(Q29&lt;$Q$28:$Q$32))</f>
        <v>0</v>
      </c>
      <c r="U29" s="47">
        <f>S29+T29</f>
        <v>2</v>
      </c>
      <c r="V29" s="65">
        <f>RANK(U29,$U$28:$U$31,1)+COUNTIF($U$28:U29,U29)-1</f>
        <v>2</v>
      </c>
      <c r="W29" s="48">
        <f>R29*100+(O29-P29)*10+O29-ROW(K29)*0.01</f>
        <v>-0.28999999999999998</v>
      </c>
      <c r="X29" s="46">
        <f>RANK(W29,$W$28:$W$31,0)</f>
        <v>2</v>
      </c>
      <c r="Y29" s="49"/>
      <c r="Z29" s="49"/>
      <c r="AA29" s="49"/>
      <c r="AB29" s="49"/>
      <c r="AC29" s="49"/>
      <c r="AD29" s="49"/>
      <c r="AE29" s="49"/>
      <c r="AF29" s="49"/>
      <c r="AG29" s="49"/>
    </row>
    <row r="30" spans="1:33" x14ac:dyDescent="0.2">
      <c r="A30" s="40">
        <v>3</v>
      </c>
      <c r="B30" s="65" t="str">
        <f>INDEX(K$28:K$32,MATCH($A30,$X$28:$X$32,0))</f>
        <v>Αγγλία</v>
      </c>
      <c r="C30" s="65">
        <f t="shared" si="7"/>
        <v>0</v>
      </c>
      <c r="D30" s="65">
        <f t="shared" si="7"/>
        <v>0</v>
      </c>
      <c r="E30" s="65">
        <f t="shared" si="7"/>
        <v>0</v>
      </c>
      <c r="F30" s="65">
        <f t="shared" si="7"/>
        <v>0</v>
      </c>
      <c r="G30" s="65">
        <f t="shared" si="7"/>
        <v>0</v>
      </c>
      <c r="H30" s="65">
        <f t="shared" si="7"/>
        <v>0</v>
      </c>
      <c r="I30" s="65">
        <f t="shared" si="7"/>
        <v>0</v>
      </c>
      <c r="K30" s="47" t="str">
        <f>Ομάδες!$D19</f>
        <v>Αγγλία</v>
      </c>
      <c r="L30" s="47">
        <f>'Βοηθητικές θέσεις πίνακα'!N26</f>
        <v>0</v>
      </c>
      <c r="M30" s="47">
        <f>'Βοηθητικές θέσεις πίνακα'!P26</f>
        <v>0</v>
      </c>
      <c r="N30" s="47">
        <f>'Βοηθητικές θέσεις πίνακα'!O26</f>
        <v>0</v>
      </c>
      <c r="O30" s="47">
        <f>'Βοηθητικές θέσεις πίνακα'!Q26</f>
        <v>0</v>
      </c>
      <c r="P30" s="47">
        <f>'Βοηθητικές θέσεις πίνακα'!R26</f>
        <v>0</v>
      </c>
      <c r="Q30" s="47">
        <f>O30-P30</f>
        <v>0</v>
      </c>
      <c r="R30" s="47">
        <f>L30*3+M30</f>
        <v>0</v>
      </c>
      <c r="S30" s="47">
        <f>IF(SUM(L30:N30)=0,ROW()-27,RANK(R30,$R$28:$R$31))</f>
        <v>3</v>
      </c>
      <c r="T30" s="47">
        <f>SUMPRODUCT(($R$28:$R$32=R30)*(Q30&lt;$Q$28:$Q$32))</f>
        <v>0</v>
      </c>
      <c r="U30" s="47">
        <f>S30+T30</f>
        <v>3</v>
      </c>
      <c r="V30" s="65">
        <f>RANK(U30,$U$28:$U$31,1)+COUNTIF($U$28:U30,U30)-1</f>
        <v>3</v>
      </c>
      <c r="W30" s="48">
        <f>R30*100+(O30-P30)*10+O30-ROW(K30)*0.01</f>
        <v>-0.3</v>
      </c>
      <c r="X30" s="46">
        <f>RANK(W30,$W$28:$W$31,0)</f>
        <v>3</v>
      </c>
      <c r="Y30" s="49"/>
      <c r="Z30" s="49"/>
      <c r="AA30" s="49"/>
      <c r="AB30" s="49"/>
      <c r="AC30" s="49"/>
      <c r="AD30" s="49"/>
      <c r="AE30" s="49"/>
      <c r="AF30" s="49"/>
      <c r="AG30" s="49"/>
    </row>
    <row r="31" spans="1:33" x14ac:dyDescent="0.2">
      <c r="A31" s="40">
        <v>4</v>
      </c>
      <c r="B31" s="65" t="str">
        <f>INDEX(K$28:K$32,MATCH($A31,$X$28:$X$32,0))</f>
        <v>Ιταλία</v>
      </c>
      <c r="C31" s="65">
        <f t="shared" si="7"/>
        <v>0</v>
      </c>
      <c r="D31" s="65">
        <f t="shared" si="7"/>
        <v>0</v>
      </c>
      <c r="E31" s="65">
        <f t="shared" si="7"/>
        <v>0</v>
      </c>
      <c r="F31" s="65">
        <f t="shared" si="7"/>
        <v>0</v>
      </c>
      <c r="G31" s="65">
        <f t="shared" si="7"/>
        <v>0</v>
      </c>
      <c r="H31" s="65">
        <f t="shared" si="7"/>
        <v>0</v>
      </c>
      <c r="I31" s="65">
        <f t="shared" si="7"/>
        <v>0</v>
      </c>
      <c r="K31" s="47" t="str">
        <f>Ομάδες!$D20</f>
        <v>Ιταλία</v>
      </c>
      <c r="L31" s="47">
        <f>'Βοηθητικές θέσεις πίνακα'!N27</f>
        <v>0</v>
      </c>
      <c r="M31" s="47">
        <f>'Βοηθητικές θέσεις πίνακα'!P27</f>
        <v>0</v>
      </c>
      <c r="N31" s="47">
        <f>'Βοηθητικές θέσεις πίνακα'!O27</f>
        <v>0</v>
      </c>
      <c r="O31" s="47">
        <f>'Βοηθητικές θέσεις πίνακα'!Q27</f>
        <v>0</v>
      </c>
      <c r="P31" s="47">
        <f>'Βοηθητικές θέσεις πίνακα'!R27</f>
        <v>0</v>
      </c>
      <c r="Q31" s="47">
        <f>O31-P31</f>
        <v>0</v>
      </c>
      <c r="R31" s="47">
        <f>L31*3+M31</f>
        <v>0</v>
      </c>
      <c r="S31" s="47">
        <f>IF(SUM(L31:N31)=0,ROW()-27,RANK(R31,$R$28:$R$31))</f>
        <v>4</v>
      </c>
      <c r="T31" s="47">
        <f>SUMPRODUCT(($R$28:$R$32=R31)*(Q31&lt;$Q$28:$Q$32))</f>
        <v>0</v>
      </c>
      <c r="U31" s="47">
        <f>S31+T31</f>
        <v>4</v>
      </c>
      <c r="V31" s="65">
        <f>RANK(U31,$U$28:$U$31,1)+COUNTIF($U$28:U31,U31)-1</f>
        <v>4</v>
      </c>
      <c r="W31" s="48">
        <f>R31*100+(O31-P31)*10+O31-ROW(K31)*0.01</f>
        <v>-0.31</v>
      </c>
      <c r="X31" s="46">
        <f>RANK(W31,$W$28:$W$31,0)</f>
        <v>4</v>
      </c>
      <c r="Y31" s="49"/>
      <c r="Z31" s="49"/>
      <c r="AA31" s="49"/>
      <c r="AB31" s="49"/>
      <c r="AC31" s="49"/>
      <c r="AD31" s="49"/>
      <c r="AE31" s="49"/>
      <c r="AF31" s="49"/>
      <c r="AG31" s="49"/>
    </row>
    <row r="32" spans="1:33" x14ac:dyDescent="0.2">
      <c r="X32" s="41"/>
      <c r="Y32" s="49"/>
      <c r="Z32" s="49"/>
      <c r="AA32" s="49"/>
      <c r="AB32" s="49"/>
      <c r="AC32" s="49"/>
      <c r="AD32" s="49"/>
      <c r="AE32" s="49"/>
      <c r="AF32" s="49"/>
      <c r="AG32" s="49"/>
    </row>
    <row r="33" spans="1:33" x14ac:dyDescent="0.2">
      <c r="K33" s="110" t="s">
        <v>7</v>
      </c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X33" s="41"/>
      <c r="Y33" s="42"/>
      <c r="Z33" s="42"/>
      <c r="AA33" s="42"/>
      <c r="AB33" s="42"/>
      <c r="AC33" s="42"/>
      <c r="AD33" s="42"/>
      <c r="AE33" s="42"/>
      <c r="AF33" s="42"/>
      <c r="AG33" s="42"/>
    </row>
    <row r="34" spans="1:33" x14ac:dyDescent="0.2">
      <c r="A34" s="40" t="s">
        <v>24</v>
      </c>
      <c r="B34" s="66" t="s">
        <v>140</v>
      </c>
      <c r="C34" s="66" t="s">
        <v>143</v>
      </c>
      <c r="D34" s="66" t="s">
        <v>144</v>
      </c>
      <c r="E34" s="66" t="s">
        <v>145</v>
      </c>
      <c r="F34" s="66" t="s">
        <v>147</v>
      </c>
      <c r="G34" s="66" t="s">
        <v>148</v>
      </c>
      <c r="H34" s="66" t="s">
        <v>146</v>
      </c>
      <c r="I34" s="66" t="s">
        <v>149</v>
      </c>
      <c r="K34" s="40" t="s">
        <v>140</v>
      </c>
      <c r="L34" s="66" t="s">
        <v>143</v>
      </c>
      <c r="M34" s="66" t="s">
        <v>144</v>
      </c>
      <c r="N34" s="66" t="s">
        <v>145</v>
      </c>
      <c r="O34" s="66" t="s">
        <v>147</v>
      </c>
      <c r="P34" s="66" t="s">
        <v>148</v>
      </c>
      <c r="Q34" s="66" t="s">
        <v>146</v>
      </c>
      <c r="R34" s="66" t="s">
        <v>149</v>
      </c>
      <c r="S34" s="40" t="s">
        <v>27</v>
      </c>
      <c r="T34" s="40" t="s">
        <v>28</v>
      </c>
      <c r="U34" s="40" t="s">
        <v>29</v>
      </c>
      <c r="V34" s="40" t="s">
        <v>30</v>
      </c>
      <c r="W34" s="43" t="s">
        <v>31</v>
      </c>
      <c r="X34" s="41"/>
      <c r="Y34" s="46"/>
      <c r="Z34" s="46"/>
      <c r="AA34" s="46"/>
      <c r="AB34" s="46"/>
      <c r="AC34" s="46"/>
      <c r="AD34" s="46"/>
      <c r="AE34" s="46"/>
      <c r="AF34" s="46"/>
      <c r="AG34" s="46"/>
    </row>
    <row r="35" spans="1:33" x14ac:dyDescent="0.2">
      <c r="A35" s="40">
        <v>1</v>
      </c>
      <c r="B35" s="65" t="str">
        <f>INDEX(K$35:K$39,MATCH($A35,$X$35:$X$39,0))</f>
        <v>Ελβετία</v>
      </c>
      <c r="C35" s="65">
        <f t="shared" ref="C35:I35" si="8">INDEX(L$35:L$39,MATCH($A35,$X$35:$X$39,0))</f>
        <v>0</v>
      </c>
      <c r="D35" s="65">
        <f t="shared" si="8"/>
        <v>0</v>
      </c>
      <c r="E35" s="65">
        <f t="shared" si="8"/>
        <v>0</v>
      </c>
      <c r="F35" s="65">
        <f t="shared" si="8"/>
        <v>0</v>
      </c>
      <c r="G35" s="65">
        <f t="shared" si="8"/>
        <v>0</v>
      </c>
      <c r="H35" s="65">
        <f t="shared" si="8"/>
        <v>0</v>
      </c>
      <c r="I35" s="65">
        <f t="shared" si="8"/>
        <v>0</v>
      </c>
      <c r="K35" s="47" t="str">
        <f>Ομάδες!$G2</f>
        <v>Ελβετία</v>
      </c>
      <c r="L35" s="47">
        <f>'Βοηθητικές θέσεις πίνακα'!N31</f>
        <v>0</v>
      </c>
      <c r="M35" s="47">
        <f>'Βοηθητικές θέσεις πίνακα'!P31</f>
        <v>0</v>
      </c>
      <c r="N35" s="47">
        <f>'Βοηθητικές θέσεις πίνακα'!O31</f>
        <v>0</v>
      </c>
      <c r="O35" s="47">
        <f>'Βοηθητικές θέσεις πίνακα'!Q31</f>
        <v>0</v>
      </c>
      <c r="P35" s="47">
        <f>'Βοηθητικές θέσεις πίνακα'!R31</f>
        <v>0</v>
      </c>
      <c r="Q35" s="47">
        <f>O35-P35</f>
        <v>0</v>
      </c>
      <c r="R35" s="47">
        <f>L35*3+M35</f>
        <v>0</v>
      </c>
      <c r="S35" s="47">
        <f>IF(SUM(L35:N35)=0,ROW()-34,RANK(R35,$R$35:$R$38))</f>
        <v>1</v>
      </c>
      <c r="T35" s="47">
        <f>SUMPRODUCT(($R$35:$R$38=R35)*(Q35&lt;$Q$35:$Q$38))</f>
        <v>0</v>
      </c>
      <c r="U35" s="47">
        <f>S35+T35</f>
        <v>1</v>
      </c>
      <c r="V35" s="65">
        <f>RANK(U35,$U$35:$U$38,1)+COUNTIF($U$35:U35,U35)-1</f>
        <v>1</v>
      </c>
      <c r="W35" s="48">
        <f>R35*100+(O35-P35)*10+O35-ROW(K35)*0.01</f>
        <v>-0.35000000000000003</v>
      </c>
      <c r="X35" s="46">
        <f>RANK(W35,$W$35:$W$38,0)</f>
        <v>1</v>
      </c>
      <c r="Y35" s="49"/>
      <c r="Z35" s="49"/>
      <c r="AA35" s="49"/>
      <c r="AB35" s="49"/>
      <c r="AC35" s="49"/>
      <c r="AD35" s="49"/>
      <c r="AE35" s="49"/>
      <c r="AF35" s="49"/>
      <c r="AG35" s="49"/>
    </row>
    <row r="36" spans="1:33" x14ac:dyDescent="0.2">
      <c r="A36" s="40">
        <v>2</v>
      </c>
      <c r="B36" s="65" t="str">
        <f>INDEX(K$35:K$39,MATCH($A36,$X$35:$X$39,0))</f>
        <v>Εκουαδόρ</v>
      </c>
      <c r="C36" s="65">
        <f t="shared" ref="C36:I38" si="9">INDEX(L$35:L$39,MATCH($A36,$X$35:$X$39,0))</f>
        <v>0</v>
      </c>
      <c r="D36" s="65">
        <f t="shared" si="9"/>
        <v>0</v>
      </c>
      <c r="E36" s="65">
        <f t="shared" si="9"/>
        <v>0</v>
      </c>
      <c r="F36" s="65">
        <f t="shared" si="9"/>
        <v>0</v>
      </c>
      <c r="G36" s="65">
        <f t="shared" si="9"/>
        <v>0</v>
      </c>
      <c r="H36" s="65">
        <f t="shared" si="9"/>
        <v>0</v>
      </c>
      <c r="I36" s="65">
        <f t="shared" si="9"/>
        <v>0</v>
      </c>
      <c r="K36" s="47" t="str">
        <f>Ομάδες!$G3</f>
        <v>Εκουαδόρ</v>
      </c>
      <c r="L36" s="47">
        <f>'Βοηθητικές θέσεις πίνακα'!N32</f>
        <v>0</v>
      </c>
      <c r="M36" s="47">
        <f>'Βοηθητικές θέσεις πίνακα'!P32</f>
        <v>0</v>
      </c>
      <c r="N36" s="47">
        <f>'Βοηθητικές θέσεις πίνακα'!O32</f>
        <v>0</v>
      </c>
      <c r="O36" s="47">
        <f>'Βοηθητικές θέσεις πίνακα'!Q32</f>
        <v>0</v>
      </c>
      <c r="P36" s="47">
        <f>'Βοηθητικές θέσεις πίνακα'!R32</f>
        <v>0</v>
      </c>
      <c r="Q36" s="47">
        <f>O36-P36</f>
        <v>0</v>
      </c>
      <c r="R36" s="47">
        <f>L36*3+M36</f>
        <v>0</v>
      </c>
      <c r="S36" s="47">
        <f>IF(SUM(L36:N36)=0,ROW()-34,RANK(R36,$R$35:$R$38))</f>
        <v>2</v>
      </c>
      <c r="T36" s="47">
        <f>SUMPRODUCT(($R$35:$R$38=R36)*(Q36&lt;$Q$35:$Q$38))</f>
        <v>0</v>
      </c>
      <c r="U36" s="47">
        <f>S36+T36</f>
        <v>2</v>
      </c>
      <c r="V36" s="65">
        <f>RANK(U36,$U$35:$U$38,1)+COUNTIF($U$35:U36,U36)-1</f>
        <v>2</v>
      </c>
      <c r="W36" s="48">
        <f>R36*100+(O36-P36)*10+O36-ROW(K36)*0.01</f>
        <v>-0.36</v>
      </c>
      <c r="X36" s="46">
        <f>RANK(W36,$W$35:$W$38,0)</f>
        <v>2</v>
      </c>
      <c r="Y36" s="49"/>
      <c r="Z36" s="49"/>
      <c r="AA36" s="49"/>
      <c r="AB36" s="49"/>
      <c r="AC36" s="49"/>
      <c r="AD36" s="49"/>
      <c r="AE36" s="49"/>
      <c r="AF36" s="49"/>
      <c r="AG36" s="49"/>
    </row>
    <row r="37" spans="1:33" x14ac:dyDescent="0.2">
      <c r="A37" s="40">
        <v>3</v>
      </c>
      <c r="B37" s="65" t="str">
        <f>INDEX(K$35:K$39,MATCH($A37,$X$35:$X$39,0))</f>
        <v>Γαλλία</v>
      </c>
      <c r="C37" s="65">
        <f t="shared" si="9"/>
        <v>0</v>
      </c>
      <c r="D37" s="65">
        <f t="shared" si="9"/>
        <v>0</v>
      </c>
      <c r="E37" s="65">
        <f t="shared" si="9"/>
        <v>0</v>
      </c>
      <c r="F37" s="65">
        <f t="shared" si="9"/>
        <v>0</v>
      </c>
      <c r="G37" s="65">
        <f t="shared" si="9"/>
        <v>0</v>
      </c>
      <c r="H37" s="65">
        <f t="shared" si="9"/>
        <v>0</v>
      </c>
      <c r="I37" s="65">
        <f t="shared" si="9"/>
        <v>0</v>
      </c>
      <c r="K37" s="47" t="str">
        <f>Ομάδες!$G4</f>
        <v>Γαλλία</v>
      </c>
      <c r="L37" s="47">
        <f>'Βοηθητικές θέσεις πίνακα'!N33</f>
        <v>0</v>
      </c>
      <c r="M37" s="47">
        <f>'Βοηθητικές θέσεις πίνακα'!P33</f>
        <v>0</v>
      </c>
      <c r="N37" s="47">
        <f>'Βοηθητικές θέσεις πίνακα'!O33</f>
        <v>0</v>
      </c>
      <c r="O37" s="47">
        <f>'Βοηθητικές θέσεις πίνακα'!Q33</f>
        <v>0</v>
      </c>
      <c r="P37" s="47">
        <f>'Βοηθητικές θέσεις πίνακα'!R33</f>
        <v>0</v>
      </c>
      <c r="Q37" s="47">
        <f>O37-P37</f>
        <v>0</v>
      </c>
      <c r="R37" s="47">
        <f>L37*3+M37</f>
        <v>0</v>
      </c>
      <c r="S37" s="47">
        <f>IF(SUM(L37:N37)=0,ROW()-34,RANK(R37,$R$35:$R$38))</f>
        <v>3</v>
      </c>
      <c r="T37" s="47">
        <f>SUMPRODUCT(($R$35:$R$38=R37)*(Q37&lt;$Q$35:$Q$38))</f>
        <v>0</v>
      </c>
      <c r="U37" s="47">
        <f>S37+T37</f>
        <v>3</v>
      </c>
      <c r="V37" s="65">
        <f>RANK(U37,$U$35:$U$38,1)+COUNTIF($U$35:U37,U37)-1</f>
        <v>3</v>
      </c>
      <c r="W37" s="48">
        <f>R37*100+(O37-P37)*10+O37-ROW(K37)*0.01</f>
        <v>-0.37</v>
      </c>
      <c r="X37" s="46">
        <f>RANK(W37,$W$35:$W$38,0)</f>
        <v>3</v>
      </c>
      <c r="Y37" s="49"/>
      <c r="Z37" s="49"/>
      <c r="AA37" s="49"/>
      <c r="AB37" s="49"/>
      <c r="AC37" s="49"/>
      <c r="AD37" s="49"/>
      <c r="AE37" s="49"/>
      <c r="AF37" s="49"/>
      <c r="AG37" s="49"/>
    </row>
    <row r="38" spans="1:33" x14ac:dyDescent="0.2">
      <c r="A38" s="40">
        <v>4</v>
      </c>
      <c r="B38" s="65" t="str">
        <f>INDEX(K$35:K$39,MATCH($A38,$X$35:$X$39,0))</f>
        <v>Ονδούρα</v>
      </c>
      <c r="C38" s="65">
        <f t="shared" si="9"/>
        <v>0</v>
      </c>
      <c r="D38" s="65">
        <f t="shared" si="9"/>
        <v>0</v>
      </c>
      <c r="E38" s="65">
        <f t="shared" si="9"/>
        <v>0</v>
      </c>
      <c r="F38" s="65">
        <f t="shared" si="9"/>
        <v>0</v>
      </c>
      <c r="G38" s="65">
        <f t="shared" si="9"/>
        <v>0</v>
      </c>
      <c r="H38" s="65">
        <f t="shared" si="9"/>
        <v>0</v>
      </c>
      <c r="I38" s="65">
        <f t="shared" si="9"/>
        <v>0</v>
      </c>
      <c r="K38" s="47" t="str">
        <f>Ομάδες!$G5</f>
        <v>Ονδούρα</v>
      </c>
      <c r="L38" s="47">
        <f>'Βοηθητικές θέσεις πίνακα'!N34</f>
        <v>0</v>
      </c>
      <c r="M38" s="47">
        <f>'Βοηθητικές θέσεις πίνακα'!P34</f>
        <v>0</v>
      </c>
      <c r="N38" s="47">
        <f>'Βοηθητικές θέσεις πίνακα'!O34</f>
        <v>0</v>
      </c>
      <c r="O38" s="47">
        <f>'Βοηθητικές θέσεις πίνακα'!Q34</f>
        <v>0</v>
      </c>
      <c r="P38" s="47">
        <f>'Βοηθητικές θέσεις πίνακα'!R34</f>
        <v>0</v>
      </c>
      <c r="Q38" s="47">
        <f>O38-P38</f>
        <v>0</v>
      </c>
      <c r="R38" s="47">
        <f>L38*3+M38</f>
        <v>0</v>
      </c>
      <c r="S38" s="47">
        <f>IF(SUM(L38:N38)=0,ROW()-34,RANK(R38,$R$35:$R$38))</f>
        <v>4</v>
      </c>
      <c r="T38" s="47">
        <f>SUMPRODUCT(($R$35:$R$38=R38)*(Q38&lt;$Q$35:$Q$38))</f>
        <v>0</v>
      </c>
      <c r="U38" s="47">
        <f>S38+T38</f>
        <v>4</v>
      </c>
      <c r="V38" s="65">
        <f>RANK(U38,$U$35:$U$38,1)+COUNTIF($U$35:U38,U38)-1</f>
        <v>4</v>
      </c>
      <c r="W38" s="48">
        <f>R38*100+(O38-P38)*10+O38-ROW(K38)*0.01</f>
        <v>-0.38</v>
      </c>
      <c r="X38" s="46">
        <f>RANK(W38,$W$35:$W$38,0)</f>
        <v>4</v>
      </c>
      <c r="Y38" s="49"/>
      <c r="Z38" s="49"/>
      <c r="AA38" s="49"/>
      <c r="AB38" s="49"/>
      <c r="AC38" s="49"/>
      <c r="AD38" s="49"/>
      <c r="AE38" s="49"/>
      <c r="AF38" s="49"/>
      <c r="AG38" s="49"/>
    </row>
    <row r="39" spans="1:33" x14ac:dyDescent="0.2">
      <c r="X39" s="41"/>
      <c r="Y39" s="49"/>
      <c r="Z39" s="49"/>
      <c r="AA39" s="49"/>
      <c r="AB39" s="49"/>
      <c r="AC39" s="49"/>
      <c r="AD39" s="49"/>
      <c r="AE39" s="49"/>
      <c r="AF39" s="49"/>
      <c r="AG39" s="49"/>
    </row>
    <row r="40" spans="1:33" x14ac:dyDescent="0.2">
      <c r="K40" s="110" t="s">
        <v>8</v>
      </c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X40" s="41"/>
      <c r="Y40" s="42"/>
      <c r="Z40" s="42"/>
      <c r="AA40" s="42"/>
      <c r="AB40" s="42"/>
      <c r="AC40" s="42"/>
      <c r="AD40" s="42"/>
      <c r="AE40" s="42"/>
      <c r="AF40" s="42"/>
      <c r="AG40" s="42"/>
    </row>
    <row r="41" spans="1:33" x14ac:dyDescent="0.2">
      <c r="A41" s="40" t="s">
        <v>24</v>
      </c>
      <c r="B41" s="66" t="s">
        <v>140</v>
      </c>
      <c r="C41" s="66" t="s">
        <v>143</v>
      </c>
      <c r="D41" s="66" t="s">
        <v>144</v>
      </c>
      <c r="E41" s="66" t="s">
        <v>145</v>
      </c>
      <c r="F41" s="66" t="s">
        <v>147</v>
      </c>
      <c r="G41" s="66" t="s">
        <v>148</v>
      </c>
      <c r="H41" s="66" t="s">
        <v>146</v>
      </c>
      <c r="I41" s="66" t="s">
        <v>149</v>
      </c>
      <c r="K41" s="40" t="s">
        <v>140</v>
      </c>
      <c r="L41" s="66" t="s">
        <v>143</v>
      </c>
      <c r="M41" s="66" t="s">
        <v>144</v>
      </c>
      <c r="N41" s="66" t="s">
        <v>145</v>
      </c>
      <c r="O41" s="66" t="s">
        <v>147</v>
      </c>
      <c r="P41" s="66" t="s">
        <v>148</v>
      </c>
      <c r="Q41" s="66" t="s">
        <v>146</v>
      </c>
      <c r="R41" s="66" t="s">
        <v>149</v>
      </c>
      <c r="S41" s="40" t="s">
        <v>27</v>
      </c>
      <c r="T41" s="40" t="s">
        <v>28</v>
      </c>
      <c r="U41" s="40" t="s">
        <v>29</v>
      </c>
      <c r="V41" s="40" t="s">
        <v>30</v>
      </c>
      <c r="W41" s="43" t="s">
        <v>31</v>
      </c>
      <c r="X41" s="41"/>
      <c r="Y41" s="46"/>
      <c r="Z41" s="46"/>
      <c r="AA41" s="46"/>
      <c r="AB41" s="46"/>
      <c r="AC41" s="46"/>
      <c r="AD41" s="46"/>
      <c r="AE41" s="46"/>
      <c r="AF41" s="46"/>
      <c r="AG41" s="46"/>
    </row>
    <row r="42" spans="1:33" x14ac:dyDescent="0.2">
      <c r="A42" s="40">
        <v>1</v>
      </c>
      <c r="B42" s="65" t="str">
        <f>INDEX(K$42:K$46,MATCH($A42,$X$42:$X$46,0))</f>
        <v>Αργεντινή</v>
      </c>
      <c r="C42" s="65">
        <f t="shared" ref="C42:I42" si="10">INDEX(L$42:L$46,MATCH($A42,$X$42:$X$46,0))</f>
        <v>0</v>
      </c>
      <c r="D42" s="65">
        <f t="shared" si="10"/>
        <v>0</v>
      </c>
      <c r="E42" s="65">
        <f t="shared" si="10"/>
        <v>0</v>
      </c>
      <c r="F42" s="65">
        <f t="shared" si="10"/>
        <v>0</v>
      </c>
      <c r="G42" s="65">
        <f t="shared" si="10"/>
        <v>0</v>
      </c>
      <c r="H42" s="65">
        <f t="shared" si="10"/>
        <v>0</v>
      </c>
      <c r="I42" s="65">
        <f t="shared" si="10"/>
        <v>0</v>
      </c>
      <c r="K42" s="47" t="str">
        <f>Ομάδες!$G7</f>
        <v>Αργεντινή</v>
      </c>
      <c r="L42" s="47">
        <f>'Βοηθητικές θέσεις πίνακα'!N38</f>
        <v>0</v>
      </c>
      <c r="M42" s="47">
        <f>'Βοηθητικές θέσεις πίνακα'!P38</f>
        <v>0</v>
      </c>
      <c r="N42" s="47">
        <f>'Βοηθητικές θέσεις πίνακα'!O38</f>
        <v>0</v>
      </c>
      <c r="O42" s="47">
        <f>'Βοηθητικές θέσεις πίνακα'!Q38</f>
        <v>0</v>
      </c>
      <c r="P42" s="47">
        <f>'Βοηθητικές θέσεις πίνακα'!R38</f>
        <v>0</v>
      </c>
      <c r="Q42" s="47">
        <f>O42-P42</f>
        <v>0</v>
      </c>
      <c r="R42" s="47">
        <f>L42*3+M42</f>
        <v>0</v>
      </c>
      <c r="S42" s="47">
        <f>IF(SUM(L42:N42)=0,ROW()-41,RANK(R42,$R$42:$R$45))</f>
        <v>1</v>
      </c>
      <c r="T42" s="47">
        <f>SUMPRODUCT(($R$42:$R$45=R42)*(Q42&lt;$Q$42:$Q$45))</f>
        <v>0</v>
      </c>
      <c r="U42" s="47">
        <f>S42+T42</f>
        <v>1</v>
      </c>
      <c r="V42" s="65">
        <f>RANK(U42,$U$42:$U$45,1)+COUNTIF($U$42:U42,U42)-1</f>
        <v>1</v>
      </c>
      <c r="W42" s="48">
        <f>R42*100+(O42-P42)*10+O42-ROW(K42)*0.01</f>
        <v>-0.42</v>
      </c>
      <c r="X42" s="46">
        <f>RANK(W42,$W$42:$W$45,0)</f>
        <v>1</v>
      </c>
      <c r="Y42" s="49"/>
      <c r="Z42" s="49"/>
      <c r="AA42" s="49"/>
      <c r="AB42" s="49"/>
      <c r="AC42" s="49"/>
      <c r="AD42" s="49"/>
      <c r="AE42" s="49"/>
      <c r="AF42" s="49"/>
      <c r="AG42" s="49"/>
    </row>
    <row r="43" spans="1:33" x14ac:dyDescent="0.2">
      <c r="A43" s="40">
        <v>2</v>
      </c>
      <c r="B43" s="65" t="str">
        <f>INDEX(K$42:K$46,MATCH($A43,$X$42:$X$46,0))</f>
        <v>Βοσνία-Ερζεγοβίνη</v>
      </c>
      <c r="C43" s="65">
        <f t="shared" ref="C43:I45" si="11">INDEX(L$42:L$46,MATCH($A43,$X$42:$X$46,0))</f>
        <v>0</v>
      </c>
      <c r="D43" s="65">
        <f t="shared" si="11"/>
        <v>0</v>
      </c>
      <c r="E43" s="65">
        <f t="shared" si="11"/>
        <v>0</v>
      </c>
      <c r="F43" s="65">
        <f t="shared" si="11"/>
        <v>0</v>
      </c>
      <c r="G43" s="65">
        <f t="shared" si="11"/>
        <v>0</v>
      </c>
      <c r="H43" s="65">
        <f t="shared" si="11"/>
        <v>0</v>
      </c>
      <c r="I43" s="65">
        <f t="shared" si="11"/>
        <v>0</v>
      </c>
      <c r="K43" s="47" t="str">
        <f>Ομάδες!$G8</f>
        <v>Βοσνία-Ερζεγοβίνη</v>
      </c>
      <c r="L43" s="47">
        <f>'Βοηθητικές θέσεις πίνακα'!N39</f>
        <v>0</v>
      </c>
      <c r="M43" s="47">
        <f>'Βοηθητικές θέσεις πίνακα'!P39</f>
        <v>0</v>
      </c>
      <c r="N43" s="47">
        <f>'Βοηθητικές θέσεις πίνακα'!O39</f>
        <v>0</v>
      </c>
      <c r="O43" s="47">
        <f>'Βοηθητικές θέσεις πίνακα'!Q39</f>
        <v>0</v>
      </c>
      <c r="P43" s="47">
        <f>'Βοηθητικές θέσεις πίνακα'!R39</f>
        <v>0</v>
      </c>
      <c r="Q43" s="47">
        <f>O43-P43</f>
        <v>0</v>
      </c>
      <c r="R43" s="47">
        <f>L43*3+M43</f>
        <v>0</v>
      </c>
      <c r="S43" s="47">
        <f>IF(SUM(L43:N43)=0,ROW()-41,RANK(R43,$R$42:$R$45))</f>
        <v>2</v>
      </c>
      <c r="T43" s="47">
        <f>SUMPRODUCT(($R$42:$R$45=R43)*(Q43&lt;$Q$42:$Q$45))</f>
        <v>0</v>
      </c>
      <c r="U43" s="47">
        <f>S43+T43</f>
        <v>2</v>
      </c>
      <c r="V43" s="65">
        <f>RANK(U43,$U$42:$U$45,1)+COUNTIF($U$42:U43,U43)-1</f>
        <v>2</v>
      </c>
      <c r="W43" s="48">
        <f>R43*100+(O43-P43)*10+O43-ROW(K43)*0.01</f>
        <v>-0.43</v>
      </c>
      <c r="X43" s="46">
        <f>RANK(W43,$W$42:$W$45,0)</f>
        <v>2</v>
      </c>
      <c r="Y43" s="49"/>
      <c r="Z43" s="49"/>
      <c r="AA43" s="49"/>
      <c r="AB43" s="49"/>
      <c r="AC43" s="49"/>
      <c r="AD43" s="49"/>
      <c r="AE43" s="49"/>
      <c r="AF43" s="49"/>
      <c r="AG43" s="49"/>
    </row>
    <row r="44" spans="1:33" x14ac:dyDescent="0.2">
      <c r="A44" s="40">
        <v>3</v>
      </c>
      <c r="B44" s="65" t="str">
        <f>INDEX(K$42:K$46,MATCH($A44,$X$42:$X$46,0))</f>
        <v>Ιράν</v>
      </c>
      <c r="C44" s="65">
        <f t="shared" si="11"/>
        <v>0</v>
      </c>
      <c r="D44" s="65">
        <f t="shared" si="11"/>
        <v>0</v>
      </c>
      <c r="E44" s="65">
        <f t="shared" si="11"/>
        <v>0</v>
      </c>
      <c r="F44" s="65">
        <f t="shared" si="11"/>
        <v>0</v>
      </c>
      <c r="G44" s="65">
        <f t="shared" si="11"/>
        <v>0</v>
      </c>
      <c r="H44" s="65">
        <f t="shared" si="11"/>
        <v>0</v>
      </c>
      <c r="I44" s="65">
        <f t="shared" si="11"/>
        <v>0</v>
      </c>
      <c r="K44" s="47" t="str">
        <f>Ομάδες!$G9</f>
        <v>Ιράν</v>
      </c>
      <c r="L44" s="47">
        <f>'Βοηθητικές θέσεις πίνακα'!N40</f>
        <v>0</v>
      </c>
      <c r="M44" s="47">
        <f>'Βοηθητικές θέσεις πίνακα'!P40</f>
        <v>0</v>
      </c>
      <c r="N44" s="47">
        <f>'Βοηθητικές θέσεις πίνακα'!O40</f>
        <v>0</v>
      </c>
      <c r="O44" s="47">
        <f>'Βοηθητικές θέσεις πίνακα'!Q40</f>
        <v>0</v>
      </c>
      <c r="P44" s="47">
        <f>'Βοηθητικές θέσεις πίνακα'!R40</f>
        <v>0</v>
      </c>
      <c r="Q44" s="47">
        <f>O44-P44</f>
        <v>0</v>
      </c>
      <c r="R44" s="47">
        <f>L44*3+M44</f>
        <v>0</v>
      </c>
      <c r="S44" s="47">
        <f>IF(SUM(L44:N44)=0,ROW()-41,RANK(R44,$R$42:$R$45))</f>
        <v>3</v>
      </c>
      <c r="T44" s="47">
        <f>SUMPRODUCT(($R$42:$R$45=R44)*(Q44&lt;$Q$42:$Q$45))</f>
        <v>0</v>
      </c>
      <c r="U44" s="47">
        <f>S44+T44</f>
        <v>3</v>
      </c>
      <c r="V44" s="65">
        <f>RANK(U44,$U$42:$U$45,1)+COUNTIF($U$42:U44,U44)-1</f>
        <v>3</v>
      </c>
      <c r="W44" s="48">
        <f>R44*100+(O44-P44)*10+O44-ROW(K44)*0.01</f>
        <v>-0.44</v>
      </c>
      <c r="X44" s="46">
        <f>RANK(W44,$W$42:$W$45,0)</f>
        <v>3</v>
      </c>
      <c r="Y44" s="49"/>
      <c r="Z44" s="49"/>
      <c r="AA44" s="49"/>
      <c r="AB44" s="49"/>
      <c r="AC44" s="49"/>
      <c r="AD44" s="49"/>
      <c r="AE44" s="49"/>
      <c r="AF44" s="49"/>
      <c r="AG44" s="49"/>
    </row>
    <row r="45" spans="1:33" x14ac:dyDescent="0.2">
      <c r="A45" s="40">
        <v>4</v>
      </c>
      <c r="B45" s="65" t="str">
        <f>INDEX(K$42:K$46,MATCH($A45,$X$42:$X$46,0))</f>
        <v>Νιγηρία</v>
      </c>
      <c r="C45" s="65">
        <f t="shared" si="11"/>
        <v>0</v>
      </c>
      <c r="D45" s="65">
        <f t="shared" si="11"/>
        <v>0</v>
      </c>
      <c r="E45" s="65">
        <f t="shared" si="11"/>
        <v>0</v>
      </c>
      <c r="F45" s="65">
        <f t="shared" si="11"/>
        <v>0</v>
      </c>
      <c r="G45" s="65">
        <f t="shared" si="11"/>
        <v>0</v>
      </c>
      <c r="H45" s="65">
        <f t="shared" si="11"/>
        <v>0</v>
      </c>
      <c r="I45" s="65">
        <f t="shared" si="11"/>
        <v>0</v>
      </c>
      <c r="K45" s="47" t="str">
        <f>Ομάδες!$G10</f>
        <v>Νιγηρία</v>
      </c>
      <c r="L45" s="47">
        <f>'Βοηθητικές θέσεις πίνακα'!N41</f>
        <v>0</v>
      </c>
      <c r="M45" s="47">
        <f>'Βοηθητικές θέσεις πίνακα'!P41</f>
        <v>0</v>
      </c>
      <c r="N45" s="47">
        <f>'Βοηθητικές θέσεις πίνακα'!O41</f>
        <v>0</v>
      </c>
      <c r="O45" s="47">
        <f>'Βοηθητικές θέσεις πίνακα'!Q41</f>
        <v>0</v>
      </c>
      <c r="P45" s="47">
        <f>'Βοηθητικές θέσεις πίνακα'!R41</f>
        <v>0</v>
      </c>
      <c r="Q45" s="47">
        <f>O45-P45</f>
        <v>0</v>
      </c>
      <c r="R45" s="47">
        <f>L45*3+M45</f>
        <v>0</v>
      </c>
      <c r="S45" s="47">
        <f>IF(SUM(L45:N45)=0,ROW()-41,RANK(R45,$R$42:$R$45))</f>
        <v>4</v>
      </c>
      <c r="T45" s="47">
        <f>SUMPRODUCT(($R$42:$R$45=R45)*(Q45&lt;$Q$42:$Q$45))</f>
        <v>0</v>
      </c>
      <c r="U45" s="47">
        <f>S45+T45</f>
        <v>4</v>
      </c>
      <c r="V45" s="65">
        <f>RANK(U45,$U$42:$U$45,1)+COUNTIF($U$42:U45,U45)-1</f>
        <v>4</v>
      </c>
      <c r="W45" s="48">
        <f>R45*100+(O45-P45)*10+O45-ROW(K45)*0.01</f>
        <v>-0.45</v>
      </c>
      <c r="X45" s="46">
        <f>RANK(W45,$W$42:$W$45,0)</f>
        <v>4</v>
      </c>
      <c r="Y45" s="49"/>
      <c r="Z45" s="49"/>
      <c r="AA45" s="49"/>
      <c r="AB45" s="49"/>
      <c r="AC45" s="49"/>
      <c r="AD45" s="49"/>
      <c r="AE45" s="49"/>
      <c r="AF45" s="49"/>
      <c r="AG45" s="49"/>
    </row>
    <row r="46" spans="1:33" x14ac:dyDescent="0.2">
      <c r="X46" s="41"/>
      <c r="Y46" s="49"/>
      <c r="Z46" s="49"/>
      <c r="AA46" s="49"/>
      <c r="AB46" s="49"/>
      <c r="AC46" s="49"/>
      <c r="AD46" s="49"/>
      <c r="AE46" s="49"/>
      <c r="AF46" s="49"/>
      <c r="AG46" s="49"/>
    </row>
    <row r="47" spans="1:33" x14ac:dyDescent="0.2">
      <c r="K47" s="110" t="s">
        <v>9</v>
      </c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X47" s="41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33" x14ac:dyDescent="0.2">
      <c r="A48" s="40" t="s">
        <v>24</v>
      </c>
      <c r="B48" s="66" t="s">
        <v>140</v>
      </c>
      <c r="C48" s="66" t="s">
        <v>143</v>
      </c>
      <c r="D48" s="66" t="s">
        <v>144</v>
      </c>
      <c r="E48" s="66" t="s">
        <v>145</v>
      </c>
      <c r="F48" s="66" t="s">
        <v>147</v>
      </c>
      <c r="G48" s="66" t="s">
        <v>148</v>
      </c>
      <c r="H48" s="66" t="s">
        <v>146</v>
      </c>
      <c r="I48" s="66" t="s">
        <v>149</v>
      </c>
      <c r="K48" s="40" t="s">
        <v>140</v>
      </c>
      <c r="L48" s="66" t="s">
        <v>143</v>
      </c>
      <c r="M48" s="66" t="s">
        <v>144</v>
      </c>
      <c r="N48" s="66" t="s">
        <v>145</v>
      </c>
      <c r="O48" s="66" t="s">
        <v>147</v>
      </c>
      <c r="P48" s="66" t="s">
        <v>148</v>
      </c>
      <c r="Q48" s="66" t="s">
        <v>146</v>
      </c>
      <c r="R48" s="66" t="s">
        <v>149</v>
      </c>
      <c r="S48" s="40" t="s">
        <v>27</v>
      </c>
      <c r="T48" s="40" t="s">
        <v>28</v>
      </c>
      <c r="U48" s="40" t="s">
        <v>29</v>
      </c>
      <c r="V48" s="40" t="s">
        <v>30</v>
      </c>
      <c r="W48" s="43" t="s">
        <v>31</v>
      </c>
      <c r="X48" s="41"/>
      <c r="Y48" s="46"/>
      <c r="Z48" s="46"/>
      <c r="AA48" s="46"/>
      <c r="AB48" s="46"/>
      <c r="AC48" s="46"/>
      <c r="AD48" s="46"/>
      <c r="AE48" s="46"/>
      <c r="AF48" s="46"/>
      <c r="AG48" s="46"/>
    </row>
    <row r="49" spans="1:33" x14ac:dyDescent="0.2">
      <c r="A49" s="40">
        <v>1</v>
      </c>
      <c r="B49" s="65" t="str">
        <f>INDEX(K$49:K$53,MATCH($A49,$X$49:$X$53,0))</f>
        <v>Γερμανία</v>
      </c>
      <c r="C49" s="65">
        <f t="shared" ref="C49:I49" si="12">INDEX(L$49:L$53,MATCH($A49,$X$49:$X$53,0))</f>
        <v>0</v>
      </c>
      <c r="D49" s="65">
        <f t="shared" si="12"/>
        <v>0</v>
      </c>
      <c r="E49" s="65">
        <f t="shared" si="12"/>
        <v>0</v>
      </c>
      <c r="F49" s="65">
        <f t="shared" si="12"/>
        <v>0</v>
      </c>
      <c r="G49" s="65">
        <f t="shared" si="12"/>
        <v>0</v>
      </c>
      <c r="H49" s="65">
        <f t="shared" si="12"/>
        <v>0</v>
      </c>
      <c r="I49" s="65">
        <f t="shared" si="12"/>
        <v>0</v>
      </c>
      <c r="K49" s="47" t="str">
        <f>Ομάδες!$G12</f>
        <v>Γερμανία</v>
      </c>
      <c r="L49" s="47">
        <f>'Βοηθητικές θέσεις πίνακα'!N45</f>
        <v>0</v>
      </c>
      <c r="M49" s="47">
        <f>'Βοηθητικές θέσεις πίνακα'!P45</f>
        <v>0</v>
      </c>
      <c r="N49" s="47">
        <f>'Βοηθητικές θέσεις πίνακα'!O45</f>
        <v>0</v>
      </c>
      <c r="O49" s="47">
        <f>'Βοηθητικές θέσεις πίνακα'!Q45</f>
        <v>0</v>
      </c>
      <c r="P49" s="47">
        <f>'Βοηθητικές θέσεις πίνακα'!R45</f>
        <v>0</v>
      </c>
      <c r="Q49" s="47">
        <f>O49-P49</f>
        <v>0</v>
      </c>
      <c r="R49" s="47">
        <f>L49*3+M49</f>
        <v>0</v>
      </c>
      <c r="S49" s="47">
        <f>IF(SUM(L49:N49)=0,ROW()-48,RANK(R49,$R$49:$R$52))</f>
        <v>1</v>
      </c>
      <c r="T49" s="47">
        <f>SUMPRODUCT(($R$49:$R$52=R49)*(Q49&lt;$Q$49:$Q$52))</f>
        <v>0</v>
      </c>
      <c r="U49" s="47">
        <f>S49+T49</f>
        <v>1</v>
      </c>
      <c r="V49" s="65">
        <f>RANK(U49,$U$49:$U$52,1)+COUNTIF($U$49:U49,U49)-1</f>
        <v>1</v>
      </c>
      <c r="W49" s="48">
        <f>R49*100+(O49-P49)*10+O49-ROW(K49)*0.01</f>
        <v>-0.49</v>
      </c>
      <c r="X49" s="46">
        <f>RANK(W49,$W$49:$W$52,0)</f>
        <v>1</v>
      </c>
      <c r="Y49" s="49"/>
      <c r="Z49" s="49"/>
      <c r="AA49" s="49"/>
      <c r="AB49" s="49"/>
      <c r="AC49" s="49"/>
      <c r="AD49" s="49"/>
      <c r="AE49" s="49"/>
      <c r="AF49" s="49"/>
      <c r="AG49" s="49"/>
    </row>
    <row r="50" spans="1:33" x14ac:dyDescent="0.2">
      <c r="A50" s="40">
        <v>2</v>
      </c>
      <c r="B50" s="65" t="str">
        <f>INDEX(K$49:K$53,MATCH($A50,$X$49:$X$53,0))</f>
        <v>Πορτογαλία</v>
      </c>
      <c r="C50" s="65">
        <f t="shared" ref="C50:I52" si="13">INDEX(L$49:L$53,MATCH($A50,$X$49:$X$53,0))</f>
        <v>0</v>
      </c>
      <c r="D50" s="65">
        <f t="shared" si="13"/>
        <v>0</v>
      </c>
      <c r="E50" s="65">
        <f t="shared" si="13"/>
        <v>0</v>
      </c>
      <c r="F50" s="65">
        <f t="shared" si="13"/>
        <v>0</v>
      </c>
      <c r="G50" s="65">
        <f t="shared" si="13"/>
        <v>0</v>
      </c>
      <c r="H50" s="65">
        <f t="shared" si="13"/>
        <v>0</v>
      </c>
      <c r="I50" s="65">
        <f t="shared" si="13"/>
        <v>0</v>
      </c>
      <c r="K50" s="47" t="str">
        <f>Ομάδες!$G13</f>
        <v>Πορτογαλία</v>
      </c>
      <c r="L50" s="47">
        <f>'Βοηθητικές θέσεις πίνακα'!N46</f>
        <v>0</v>
      </c>
      <c r="M50" s="47">
        <f>'Βοηθητικές θέσεις πίνακα'!P46</f>
        <v>0</v>
      </c>
      <c r="N50" s="47">
        <f>'Βοηθητικές θέσεις πίνακα'!O46</f>
        <v>0</v>
      </c>
      <c r="O50" s="47">
        <f>'Βοηθητικές θέσεις πίνακα'!Q46</f>
        <v>0</v>
      </c>
      <c r="P50" s="47">
        <f>'Βοηθητικές θέσεις πίνακα'!R46</f>
        <v>0</v>
      </c>
      <c r="Q50" s="47">
        <f>O50-P50</f>
        <v>0</v>
      </c>
      <c r="R50" s="47">
        <f>L50*3+M50</f>
        <v>0</v>
      </c>
      <c r="S50" s="47">
        <f>IF(SUM(L50:N50)=0,ROW()-48,RANK(R50,$R$49:$R$52))</f>
        <v>2</v>
      </c>
      <c r="T50" s="47">
        <f>SUMPRODUCT(($R$49:$R$52=R50)*(Q50&lt;$Q$49:$Q$52))</f>
        <v>0</v>
      </c>
      <c r="U50" s="47">
        <f>S50+T50</f>
        <v>2</v>
      </c>
      <c r="V50" s="65">
        <f>RANK(U50,$U$49:$U$52,1)+COUNTIF($U$49:U50,U50)-1</f>
        <v>2</v>
      </c>
      <c r="W50" s="48">
        <f>R50*100+(O50-P50)*10+O50-ROW(K50)*0.01</f>
        <v>-0.5</v>
      </c>
      <c r="X50" s="46">
        <f>RANK(W50,$W$49:$W$52,0)</f>
        <v>2</v>
      </c>
      <c r="Y50" s="49"/>
      <c r="Z50" s="49"/>
      <c r="AA50" s="49"/>
      <c r="AB50" s="49"/>
      <c r="AC50" s="49"/>
      <c r="AD50" s="49"/>
      <c r="AE50" s="49"/>
      <c r="AF50" s="49"/>
      <c r="AG50" s="49"/>
    </row>
    <row r="51" spans="1:33" x14ac:dyDescent="0.2">
      <c r="A51" s="40">
        <v>3</v>
      </c>
      <c r="B51" s="65" t="str">
        <f>INDEX(K$49:K$53,MATCH($A51,$X$49:$X$53,0))</f>
        <v>Γκάνα</v>
      </c>
      <c r="C51" s="65">
        <f t="shared" si="13"/>
        <v>0</v>
      </c>
      <c r="D51" s="65">
        <f t="shared" si="13"/>
        <v>0</v>
      </c>
      <c r="E51" s="65">
        <f t="shared" si="13"/>
        <v>0</v>
      </c>
      <c r="F51" s="65">
        <f t="shared" si="13"/>
        <v>0</v>
      </c>
      <c r="G51" s="65">
        <f t="shared" si="13"/>
        <v>0</v>
      </c>
      <c r="H51" s="65">
        <f t="shared" si="13"/>
        <v>0</v>
      </c>
      <c r="I51" s="65">
        <f t="shared" si="13"/>
        <v>0</v>
      </c>
      <c r="K51" s="47" t="str">
        <f>Ομάδες!$G14</f>
        <v>Γκάνα</v>
      </c>
      <c r="L51" s="47">
        <f>'Βοηθητικές θέσεις πίνακα'!N47</f>
        <v>0</v>
      </c>
      <c r="M51" s="47">
        <f>'Βοηθητικές θέσεις πίνακα'!P47</f>
        <v>0</v>
      </c>
      <c r="N51" s="47">
        <f>'Βοηθητικές θέσεις πίνακα'!O47</f>
        <v>0</v>
      </c>
      <c r="O51" s="47">
        <f>'Βοηθητικές θέσεις πίνακα'!Q47</f>
        <v>0</v>
      </c>
      <c r="P51" s="47">
        <f>'Βοηθητικές θέσεις πίνακα'!R47</f>
        <v>0</v>
      </c>
      <c r="Q51" s="47">
        <f>O51-P51</f>
        <v>0</v>
      </c>
      <c r="R51" s="47">
        <f>L51*3+M51</f>
        <v>0</v>
      </c>
      <c r="S51" s="47">
        <f>IF(SUM(L51:N51)=0,ROW()-48,RANK(R51,$R$49:$R$52))</f>
        <v>3</v>
      </c>
      <c r="T51" s="47">
        <f>SUMPRODUCT(($R$49:$R$52=R51)*(Q51&lt;$Q$49:$Q$52))</f>
        <v>0</v>
      </c>
      <c r="U51" s="47">
        <f>S51+T51</f>
        <v>3</v>
      </c>
      <c r="V51" s="65">
        <f>RANK(U51,$U$49:$U$52,1)+COUNTIF($U$49:U51,U51)-1</f>
        <v>3</v>
      </c>
      <c r="W51" s="48">
        <f>R51*100+(O51-P51)*10+O51-ROW(K51)*0.01</f>
        <v>-0.51</v>
      </c>
      <c r="X51" s="46">
        <f>RANK(W51,$W$49:$W$52,0)</f>
        <v>3</v>
      </c>
      <c r="Y51" s="49"/>
      <c r="Z51" s="49"/>
      <c r="AA51" s="49"/>
      <c r="AB51" s="49"/>
      <c r="AC51" s="49"/>
      <c r="AD51" s="49"/>
      <c r="AE51" s="49"/>
      <c r="AF51" s="49"/>
      <c r="AG51" s="49"/>
    </row>
    <row r="52" spans="1:33" x14ac:dyDescent="0.2">
      <c r="A52" s="40">
        <v>4</v>
      </c>
      <c r="B52" s="65" t="str">
        <f>INDEX(K$49:K$53,MATCH($A52,$X$49:$X$53,0))</f>
        <v>ΗΠΑ</v>
      </c>
      <c r="C52" s="65">
        <f t="shared" si="13"/>
        <v>0</v>
      </c>
      <c r="D52" s="65">
        <f t="shared" si="13"/>
        <v>0</v>
      </c>
      <c r="E52" s="65">
        <f t="shared" si="13"/>
        <v>0</v>
      </c>
      <c r="F52" s="65">
        <f t="shared" si="13"/>
        <v>0</v>
      </c>
      <c r="G52" s="65">
        <f t="shared" si="13"/>
        <v>0</v>
      </c>
      <c r="H52" s="65">
        <f t="shared" si="13"/>
        <v>0</v>
      </c>
      <c r="I52" s="65">
        <f t="shared" si="13"/>
        <v>0</v>
      </c>
      <c r="K52" s="47" t="str">
        <f>Ομάδες!$G15</f>
        <v>ΗΠΑ</v>
      </c>
      <c r="L52" s="47">
        <f>'Βοηθητικές θέσεις πίνακα'!N48</f>
        <v>0</v>
      </c>
      <c r="M52" s="47">
        <f>'Βοηθητικές θέσεις πίνακα'!P48</f>
        <v>0</v>
      </c>
      <c r="N52" s="47">
        <f>'Βοηθητικές θέσεις πίνακα'!O48</f>
        <v>0</v>
      </c>
      <c r="O52" s="47">
        <f>'Βοηθητικές θέσεις πίνακα'!Q48</f>
        <v>0</v>
      </c>
      <c r="P52" s="47">
        <f>'Βοηθητικές θέσεις πίνακα'!R48</f>
        <v>0</v>
      </c>
      <c r="Q52" s="47">
        <f>O52-P52</f>
        <v>0</v>
      </c>
      <c r="R52" s="47">
        <f>L52*3+M52</f>
        <v>0</v>
      </c>
      <c r="S52" s="47">
        <f>IF(SUM(L52:N52)=0,ROW()-48,RANK(R52,$R$49:$R$52))</f>
        <v>4</v>
      </c>
      <c r="T52" s="47">
        <f>SUMPRODUCT(($R$49:$R$52=R52)*(Q52&lt;$Q$49:$Q$52))</f>
        <v>0</v>
      </c>
      <c r="U52" s="47">
        <f>S52+T52</f>
        <v>4</v>
      </c>
      <c r="V52" s="65">
        <f>RANK(U52,$U$49:$U$52,1)+COUNTIF($U$49:U52,U52)-1</f>
        <v>4</v>
      </c>
      <c r="W52" s="48">
        <f>R52*100+(O52-P52)*10+O52-ROW(K52)*0.01</f>
        <v>-0.52</v>
      </c>
      <c r="X52" s="46">
        <f>RANK(W52,$W$49:$W$52,0)</f>
        <v>4</v>
      </c>
      <c r="Y52" s="49"/>
      <c r="Z52" s="49"/>
      <c r="AA52" s="49"/>
      <c r="AB52" s="49"/>
      <c r="AC52" s="49"/>
      <c r="AD52" s="49"/>
      <c r="AE52" s="49"/>
      <c r="AF52" s="49"/>
      <c r="AG52" s="49"/>
    </row>
    <row r="53" spans="1:33" x14ac:dyDescent="0.2">
      <c r="X53" s="41"/>
      <c r="Y53" s="49"/>
      <c r="Z53" s="49"/>
      <c r="AA53" s="49"/>
      <c r="AB53" s="49"/>
      <c r="AC53" s="49"/>
      <c r="AD53" s="49"/>
      <c r="AE53" s="49"/>
      <c r="AF53" s="49"/>
      <c r="AG53" s="49"/>
    </row>
    <row r="54" spans="1:33" x14ac:dyDescent="0.2">
      <c r="K54" s="110" t="s">
        <v>10</v>
      </c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X54" s="41"/>
      <c r="Y54" s="42"/>
      <c r="Z54" s="42"/>
      <c r="AA54" s="42"/>
      <c r="AB54" s="42"/>
      <c r="AC54" s="42"/>
      <c r="AD54" s="42"/>
      <c r="AE54" s="42"/>
      <c r="AF54" s="42"/>
      <c r="AG54" s="42"/>
    </row>
    <row r="55" spans="1:33" x14ac:dyDescent="0.2">
      <c r="A55" s="40" t="s">
        <v>24</v>
      </c>
      <c r="B55" s="66" t="s">
        <v>140</v>
      </c>
      <c r="C55" s="66" t="s">
        <v>143</v>
      </c>
      <c r="D55" s="66" t="s">
        <v>144</v>
      </c>
      <c r="E55" s="66" t="s">
        <v>145</v>
      </c>
      <c r="F55" s="66" t="s">
        <v>147</v>
      </c>
      <c r="G55" s="66" t="s">
        <v>148</v>
      </c>
      <c r="H55" s="66" t="s">
        <v>146</v>
      </c>
      <c r="I55" s="66" t="s">
        <v>149</v>
      </c>
      <c r="K55" s="40" t="s">
        <v>140</v>
      </c>
      <c r="L55" s="66" t="s">
        <v>143</v>
      </c>
      <c r="M55" s="66" t="s">
        <v>144</v>
      </c>
      <c r="N55" s="66" t="s">
        <v>145</v>
      </c>
      <c r="O55" s="66" t="s">
        <v>147</v>
      </c>
      <c r="P55" s="66" t="s">
        <v>148</v>
      </c>
      <c r="Q55" s="66" t="s">
        <v>146</v>
      </c>
      <c r="R55" s="66" t="s">
        <v>149</v>
      </c>
      <c r="S55" s="40" t="s">
        <v>27</v>
      </c>
      <c r="T55" s="40" t="s">
        <v>28</v>
      </c>
      <c r="U55" s="40" t="s">
        <v>29</v>
      </c>
      <c r="V55" s="40" t="s">
        <v>30</v>
      </c>
      <c r="W55" s="43" t="s">
        <v>31</v>
      </c>
      <c r="X55" s="41"/>
      <c r="Y55" s="46"/>
      <c r="Z55" s="46"/>
      <c r="AA55" s="46"/>
      <c r="AB55" s="46"/>
      <c r="AC55" s="46"/>
      <c r="AD55" s="46"/>
      <c r="AE55" s="46"/>
      <c r="AF55" s="46"/>
      <c r="AG55" s="46"/>
    </row>
    <row r="56" spans="1:33" x14ac:dyDescent="0.2">
      <c r="A56" s="40">
        <v>1</v>
      </c>
      <c r="B56" s="65" t="str">
        <f>INDEX(K$56:K$60,MATCH($A56,$X$56:$X$60,0))</f>
        <v>Βέλγιο</v>
      </c>
      <c r="C56" s="65">
        <f t="shared" ref="C56:I56" si="14">INDEX(L$56:L$60,MATCH($A56,$X$56:$X$60,0))</f>
        <v>0</v>
      </c>
      <c r="D56" s="65">
        <f t="shared" si="14"/>
        <v>0</v>
      </c>
      <c r="E56" s="65">
        <f t="shared" si="14"/>
        <v>0</v>
      </c>
      <c r="F56" s="65">
        <f t="shared" si="14"/>
        <v>0</v>
      </c>
      <c r="G56" s="65">
        <f t="shared" si="14"/>
        <v>0</v>
      </c>
      <c r="H56" s="65">
        <f t="shared" si="14"/>
        <v>0</v>
      </c>
      <c r="I56" s="65">
        <f t="shared" si="14"/>
        <v>0</v>
      </c>
      <c r="K56" s="47" t="str">
        <f>Ομάδες!$G17</f>
        <v>Βέλγιο</v>
      </c>
      <c r="L56" s="47">
        <f>'Βοηθητικές θέσεις πίνακα'!N52</f>
        <v>0</v>
      </c>
      <c r="M56" s="47">
        <f>'Βοηθητικές θέσεις πίνακα'!P52</f>
        <v>0</v>
      </c>
      <c r="N56" s="47">
        <f>'Βοηθητικές θέσεις πίνακα'!O52</f>
        <v>0</v>
      </c>
      <c r="O56" s="47">
        <f>'Βοηθητικές θέσεις πίνακα'!Q52</f>
        <v>0</v>
      </c>
      <c r="P56" s="47">
        <f>'Βοηθητικές θέσεις πίνακα'!R52</f>
        <v>0</v>
      </c>
      <c r="Q56" s="47">
        <f>O56-P56</f>
        <v>0</v>
      </c>
      <c r="R56" s="47">
        <f>L56*3+M56</f>
        <v>0</v>
      </c>
      <c r="S56" s="47">
        <f>IF(SUM(L56:N56)=0,ROW()-55,RANK(R56,$R$56:$R$59))</f>
        <v>1</v>
      </c>
      <c r="T56" s="47">
        <f>SUMPRODUCT(($R$56:$R$59=R56)*(Q56&lt;$Q$56:$Q$59))</f>
        <v>0</v>
      </c>
      <c r="U56" s="47">
        <f>S56+T56</f>
        <v>1</v>
      </c>
      <c r="V56" s="65">
        <f>RANK(U56,$U$56:$U$59,1)+COUNTIF($U$56:U56,U56)-1</f>
        <v>1</v>
      </c>
      <c r="W56" s="48">
        <f>R56*100+(O56-P56)*10+O56-ROW(K56)*0.01</f>
        <v>-0.56000000000000005</v>
      </c>
      <c r="X56" s="46">
        <f>RANK(W56,$W$56:$W$59,0)</f>
        <v>1</v>
      </c>
      <c r="Y56" s="49"/>
      <c r="Z56" s="49"/>
      <c r="AA56" s="49"/>
      <c r="AB56" s="49"/>
      <c r="AC56" s="49"/>
      <c r="AD56" s="49"/>
      <c r="AE56" s="49"/>
      <c r="AF56" s="49"/>
      <c r="AG56" s="49"/>
    </row>
    <row r="57" spans="1:33" x14ac:dyDescent="0.2">
      <c r="A57" s="40">
        <v>2</v>
      </c>
      <c r="B57" s="65" t="str">
        <f>INDEX(K$56:K$60,MATCH($A57,$X$56:$X$60,0))</f>
        <v>Αλγερία</v>
      </c>
      <c r="C57" s="65">
        <f t="shared" ref="C57:I59" si="15">INDEX(L$56:L$60,MATCH($A57,$X$56:$X$60,0))</f>
        <v>0</v>
      </c>
      <c r="D57" s="65">
        <f t="shared" si="15"/>
        <v>0</v>
      </c>
      <c r="E57" s="65">
        <f t="shared" si="15"/>
        <v>0</v>
      </c>
      <c r="F57" s="65">
        <f t="shared" si="15"/>
        <v>0</v>
      </c>
      <c r="G57" s="65">
        <f t="shared" si="15"/>
        <v>0</v>
      </c>
      <c r="H57" s="65">
        <f t="shared" si="15"/>
        <v>0</v>
      </c>
      <c r="I57" s="65">
        <f t="shared" si="15"/>
        <v>0</v>
      </c>
      <c r="K57" s="47" t="str">
        <f>Ομάδες!$G18</f>
        <v>Αλγερία</v>
      </c>
      <c r="L57" s="47">
        <f>'Βοηθητικές θέσεις πίνακα'!N53</f>
        <v>0</v>
      </c>
      <c r="M57" s="47">
        <f>'Βοηθητικές θέσεις πίνακα'!P53</f>
        <v>0</v>
      </c>
      <c r="N57" s="47">
        <f>'Βοηθητικές θέσεις πίνακα'!O53</f>
        <v>0</v>
      </c>
      <c r="O57" s="47">
        <f>'Βοηθητικές θέσεις πίνακα'!Q53</f>
        <v>0</v>
      </c>
      <c r="P57" s="47">
        <f>'Βοηθητικές θέσεις πίνακα'!R53</f>
        <v>0</v>
      </c>
      <c r="Q57" s="47">
        <f>O57-P57</f>
        <v>0</v>
      </c>
      <c r="R57" s="47">
        <f>L57*3+M57</f>
        <v>0</v>
      </c>
      <c r="S57" s="47">
        <f>IF(SUM(L57:N57)=0,ROW()-55,RANK(R57,$R$56:$R$59))</f>
        <v>2</v>
      </c>
      <c r="T57" s="47">
        <f>SUMPRODUCT(($R$56:$R$59=R57)*(Q57&lt;$Q$56:$Q$59))</f>
        <v>0</v>
      </c>
      <c r="U57" s="47">
        <f>S57+T57</f>
        <v>2</v>
      </c>
      <c r="V57" s="65">
        <f>RANK(U57,$U$56:$U$59,1)+COUNTIF($U$56:U57,U57)-1</f>
        <v>2</v>
      </c>
      <c r="W57" s="48">
        <f>R57*100+(O57-P57)*10+O57-ROW(K57)*0.01</f>
        <v>-0.57000000000000006</v>
      </c>
      <c r="X57" s="46">
        <f>RANK(W57,$W$56:$W$59,0)</f>
        <v>2</v>
      </c>
      <c r="Y57" s="49"/>
      <c r="Z57" s="49"/>
      <c r="AA57" s="49"/>
      <c r="AB57" s="49"/>
      <c r="AC57" s="49"/>
      <c r="AD57" s="49"/>
      <c r="AE57" s="49"/>
      <c r="AF57" s="49"/>
      <c r="AG57" s="49"/>
    </row>
    <row r="58" spans="1:33" x14ac:dyDescent="0.2">
      <c r="A58" s="40">
        <v>3</v>
      </c>
      <c r="B58" s="65" t="str">
        <f>INDEX(K$56:K$60,MATCH($A58,$X$56:$X$60,0))</f>
        <v>Ρωσία</v>
      </c>
      <c r="C58" s="65">
        <f t="shared" si="15"/>
        <v>0</v>
      </c>
      <c r="D58" s="65">
        <f t="shared" si="15"/>
        <v>0</v>
      </c>
      <c r="E58" s="65">
        <f t="shared" si="15"/>
        <v>0</v>
      </c>
      <c r="F58" s="65">
        <f t="shared" si="15"/>
        <v>0</v>
      </c>
      <c r="G58" s="65">
        <f t="shared" si="15"/>
        <v>0</v>
      </c>
      <c r="H58" s="65">
        <f t="shared" si="15"/>
        <v>0</v>
      </c>
      <c r="I58" s="65">
        <f t="shared" si="15"/>
        <v>0</v>
      </c>
      <c r="K58" s="47" t="str">
        <f>Ομάδες!$G19</f>
        <v>Ρωσία</v>
      </c>
      <c r="L58" s="47">
        <f>'Βοηθητικές θέσεις πίνακα'!N54</f>
        <v>0</v>
      </c>
      <c r="M58" s="47">
        <f>'Βοηθητικές θέσεις πίνακα'!P54</f>
        <v>0</v>
      </c>
      <c r="N58" s="47">
        <f>'Βοηθητικές θέσεις πίνακα'!O54</f>
        <v>0</v>
      </c>
      <c r="O58" s="47">
        <f>'Βοηθητικές θέσεις πίνακα'!Q54</f>
        <v>0</v>
      </c>
      <c r="P58" s="47">
        <f>'Βοηθητικές θέσεις πίνακα'!R54</f>
        <v>0</v>
      </c>
      <c r="Q58" s="47">
        <f>O58-P58</f>
        <v>0</v>
      </c>
      <c r="R58" s="47">
        <f>L58*3+M58</f>
        <v>0</v>
      </c>
      <c r="S58" s="47">
        <f>IF(SUM(L58:N58)=0,ROW()-55,RANK(R58,$R$56:$R$59))</f>
        <v>3</v>
      </c>
      <c r="T58" s="47">
        <f>SUMPRODUCT(($R$56:$R$59=R58)*(Q58&lt;$Q$56:$Q$59))</f>
        <v>0</v>
      </c>
      <c r="U58" s="47">
        <f>S58+T58</f>
        <v>3</v>
      </c>
      <c r="V58" s="65">
        <f>RANK(U58,$U$56:$U$59,1)+COUNTIF($U$56:U58,U58)-1</f>
        <v>3</v>
      </c>
      <c r="W58" s="48">
        <f>R58*100+(O58-P58)*10+O58-ROW(K58)*0.01</f>
        <v>-0.57999999999999996</v>
      </c>
      <c r="X58" s="46">
        <f>RANK(W58,$W$56:$W$59,0)</f>
        <v>3</v>
      </c>
      <c r="Y58" s="49"/>
      <c r="Z58" s="49"/>
      <c r="AA58" s="49"/>
      <c r="AB58" s="49"/>
      <c r="AC58" s="49"/>
      <c r="AD58" s="49"/>
      <c r="AE58" s="49"/>
      <c r="AF58" s="49"/>
      <c r="AG58" s="49"/>
    </row>
    <row r="59" spans="1:33" x14ac:dyDescent="0.2">
      <c r="A59" s="40">
        <v>4</v>
      </c>
      <c r="B59" s="65" t="str">
        <f>INDEX(K$56:K$60,MATCH($A59,$X$56:$X$60,0))</f>
        <v>Νότια Κορέα</v>
      </c>
      <c r="C59" s="65">
        <f t="shared" si="15"/>
        <v>0</v>
      </c>
      <c r="D59" s="65">
        <f t="shared" si="15"/>
        <v>0</v>
      </c>
      <c r="E59" s="65">
        <f t="shared" si="15"/>
        <v>0</v>
      </c>
      <c r="F59" s="65">
        <f t="shared" si="15"/>
        <v>0</v>
      </c>
      <c r="G59" s="65">
        <f t="shared" si="15"/>
        <v>0</v>
      </c>
      <c r="H59" s="65">
        <f t="shared" si="15"/>
        <v>0</v>
      </c>
      <c r="I59" s="65">
        <f t="shared" si="15"/>
        <v>0</v>
      </c>
      <c r="K59" s="47" t="str">
        <f>Ομάδες!$G20</f>
        <v>Νότια Κορέα</v>
      </c>
      <c r="L59" s="47">
        <f>'Βοηθητικές θέσεις πίνακα'!N55</f>
        <v>0</v>
      </c>
      <c r="M59" s="47">
        <f>'Βοηθητικές θέσεις πίνακα'!P55</f>
        <v>0</v>
      </c>
      <c r="N59" s="47">
        <f>'Βοηθητικές θέσεις πίνακα'!O55</f>
        <v>0</v>
      </c>
      <c r="O59" s="47">
        <f>'Βοηθητικές θέσεις πίνακα'!Q55</f>
        <v>0</v>
      </c>
      <c r="P59" s="47">
        <f>'Βοηθητικές θέσεις πίνακα'!R55</f>
        <v>0</v>
      </c>
      <c r="Q59" s="47">
        <f>O59-P59</f>
        <v>0</v>
      </c>
      <c r="R59" s="47">
        <f>L59*3+M59</f>
        <v>0</v>
      </c>
      <c r="S59" s="47">
        <f>IF(SUM(L59:N59)=0,ROW()-55,RANK(R59,$R$56:$R$59))</f>
        <v>4</v>
      </c>
      <c r="T59" s="47">
        <f>SUMPRODUCT(($R$56:$R$59=R59)*(Q59&lt;$Q$56:$Q$59))</f>
        <v>0</v>
      </c>
      <c r="U59" s="47">
        <f>S59+T59</f>
        <v>4</v>
      </c>
      <c r="V59" s="65">
        <f>RANK(U59,$U$56:$U$59,1)+COUNTIF($U$56:U59,U59)-1</f>
        <v>4</v>
      </c>
      <c r="W59" s="48">
        <f>R59*100+(O59-P59)*10+O59-ROW(K59)*0.01</f>
        <v>-0.59</v>
      </c>
      <c r="X59" s="46">
        <f>RANK(W59,$W$56:$W$59,0)</f>
        <v>4</v>
      </c>
      <c r="Y59" s="49"/>
      <c r="Z59" s="49"/>
      <c r="AA59" s="49"/>
      <c r="AB59" s="49"/>
      <c r="AC59" s="49"/>
      <c r="AD59" s="49"/>
      <c r="AE59" s="49"/>
      <c r="AF59" s="49"/>
      <c r="AG59" s="49"/>
    </row>
  </sheetData>
  <customSheetViews>
    <customSheetView guid="{95E402C5-2143-4FCF-AAA0-B9B99670355B}" state="hidden">
      <selection activeCell="K10" sqref="K10"/>
      <pageMargins left="0.74791666666666667" right="0.74791666666666667" top="0.98402777777777772" bottom="0.98402777777777772" header="0.51180555555555551" footer="0.51180555555555551"/>
      <pageSetup paperSize="9" firstPageNumber="0" orientation="portrait" horizontalDpi="300" verticalDpi="300"/>
      <headerFooter alignWithMargins="0"/>
    </customSheetView>
  </customSheetViews>
  <mergeCells count="9">
    <mergeCell ref="K40:V40"/>
    <mergeCell ref="K47:V47"/>
    <mergeCell ref="K54:V54"/>
    <mergeCell ref="A4:I4"/>
    <mergeCell ref="K5:V5"/>
    <mergeCell ref="K12:V12"/>
    <mergeCell ref="K19:V19"/>
    <mergeCell ref="K26:V26"/>
    <mergeCell ref="K33:V3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2:N25"/>
  <sheetViews>
    <sheetView workbookViewId="0">
      <selection activeCell="K25" sqref="K25"/>
    </sheetView>
  </sheetViews>
  <sheetFormatPr defaultColWidth="11.42578125" defaultRowHeight="12.75" x14ac:dyDescent="0.2"/>
  <cols>
    <col min="3" max="3" width="12.42578125" bestFit="1" customWidth="1"/>
    <col min="6" max="6" width="9.140625" customWidth="1"/>
    <col min="9" max="9" width="14.85546875" bestFit="1" customWidth="1"/>
    <col min="11" max="11" width="15.28515625" customWidth="1"/>
    <col min="14" max="14" width="9.140625" bestFit="1" customWidth="1"/>
  </cols>
  <sheetData>
    <row r="2" spans="2:14" x14ac:dyDescent="0.2">
      <c r="J2" t="s">
        <v>14</v>
      </c>
      <c r="K2" s="35">
        <f ca="1">NOW()</f>
        <v>41720.769673263887</v>
      </c>
    </row>
    <row r="3" spans="2:14" x14ac:dyDescent="0.2">
      <c r="M3" t="s">
        <v>47</v>
      </c>
      <c r="N3" t="s">
        <v>84</v>
      </c>
    </row>
    <row r="4" spans="2:14" x14ac:dyDescent="0.2">
      <c r="B4" t="s">
        <v>15</v>
      </c>
      <c r="D4" t="s">
        <v>16</v>
      </c>
      <c r="F4" t="s">
        <v>17</v>
      </c>
      <c r="L4" t="s">
        <v>18</v>
      </c>
      <c r="M4" s="36">
        <v>0.54166666666666663</v>
      </c>
      <c r="N4" s="36">
        <f>IF($D$19="+",M4+$C$19,M4-$C$19)</f>
        <v>0.70833333333333326</v>
      </c>
    </row>
    <row r="5" spans="2:14" x14ac:dyDescent="0.2">
      <c r="B5" t="s">
        <v>19</v>
      </c>
      <c r="D5">
        <v>2</v>
      </c>
      <c r="F5">
        <v>0</v>
      </c>
      <c r="H5" s="36">
        <v>0</v>
      </c>
      <c r="L5" t="s">
        <v>20</v>
      </c>
      <c r="M5" s="36">
        <v>0.625</v>
      </c>
      <c r="N5" s="36">
        <f>IF($D$19="+",M5+$C$19,M5-$C$19)</f>
        <v>0.79166666666666663</v>
      </c>
    </row>
    <row r="6" spans="2:14" x14ac:dyDescent="0.2">
      <c r="B6" t="s">
        <v>47</v>
      </c>
      <c r="F6" s="37">
        <v>-3</v>
      </c>
      <c r="H6" s="36">
        <f>M4+0.125</f>
        <v>0.66666666666666663</v>
      </c>
      <c r="L6" t="s">
        <v>22</v>
      </c>
      <c r="M6" s="36">
        <v>0.66666666666666663</v>
      </c>
      <c r="N6" s="36">
        <f>IF($D$19="+",M6+$C$19,M6-$C$19)</f>
        <v>0.83333333333333326</v>
      </c>
    </row>
    <row r="7" spans="2:14" x14ac:dyDescent="0.2">
      <c r="B7" t="s">
        <v>5</v>
      </c>
      <c r="F7">
        <v>-3</v>
      </c>
      <c r="H7" s="36">
        <f>M4-0.083</f>
        <v>0.45866666666666661</v>
      </c>
      <c r="L7" t="s">
        <v>91</v>
      </c>
      <c r="M7" s="36">
        <v>0.70833333333333304</v>
      </c>
      <c r="N7" s="36">
        <f t="shared" ref="N7:N10" si="0">IF($D$19="+",M7+$C$19,M7-$C$19)</f>
        <v>0.87499999999999967</v>
      </c>
    </row>
    <row r="8" spans="2:14" x14ac:dyDescent="0.2">
      <c r="L8" t="s">
        <v>92</v>
      </c>
      <c r="M8" s="36">
        <v>0.75</v>
      </c>
      <c r="N8" s="36">
        <f t="shared" si="0"/>
        <v>0.91666666666666663</v>
      </c>
    </row>
    <row r="9" spans="2:14" x14ac:dyDescent="0.2">
      <c r="L9" t="s">
        <v>93</v>
      </c>
      <c r="M9" s="36">
        <v>0.79166666666666696</v>
      </c>
      <c r="N9" s="36">
        <f t="shared" si="0"/>
        <v>0.95833333333333359</v>
      </c>
    </row>
    <row r="10" spans="2:14" x14ac:dyDescent="0.2">
      <c r="L10" t="s">
        <v>94</v>
      </c>
      <c r="M10" s="36">
        <v>0.875</v>
      </c>
      <c r="N10" s="36">
        <f t="shared" si="0"/>
        <v>1.0416666666666667</v>
      </c>
    </row>
    <row r="13" spans="2:14" x14ac:dyDescent="0.2">
      <c r="F13" t="s">
        <v>5</v>
      </c>
      <c r="G13" s="36">
        <v>0</v>
      </c>
      <c r="H13" t="s">
        <v>78</v>
      </c>
      <c r="I13" s="51" t="s">
        <v>90</v>
      </c>
    </row>
    <row r="14" spans="2:14" x14ac:dyDescent="0.2">
      <c r="B14" s="61">
        <v>40347</v>
      </c>
      <c r="C14" s="36">
        <v>0.70833333333333337</v>
      </c>
      <c r="D14">
        <f>HOUR(C14)</f>
        <v>17</v>
      </c>
      <c r="F14" t="s">
        <v>83</v>
      </c>
      <c r="G14" s="36">
        <v>4.1666666666666664E-2</v>
      </c>
      <c r="H14" t="s">
        <v>78</v>
      </c>
      <c r="I14" t="s">
        <v>158</v>
      </c>
    </row>
    <row r="15" spans="2:14" x14ac:dyDescent="0.2">
      <c r="F15" t="s">
        <v>47</v>
      </c>
      <c r="G15" s="36">
        <v>0</v>
      </c>
      <c r="H15" t="s">
        <v>78</v>
      </c>
      <c r="I15" t="s">
        <v>159</v>
      </c>
    </row>
    <row r="16" spans="2:14" x14ac:dyDescent="0.2">
      <c r="B16" s="61">
        <f>IF(AND(D19="+",D16&lt;D14),B14+1,B14)</f>
        <v>40347</v>
      </c>
      <c r="C16" s="36">
        <f>IF($D$19="+",C14+$C$19,C14-$C$19)</f>
        <v>0.875</v>
      </c>
      <c r="D16" s="37">
        <f>HOUR(C16)</f>
        <v>21</v>
      </c>
      <c r="F16" t="s">
        <v>57</v>
      </c>
      <c r="G16" s="36">
        <v>4.1666666666666664E-2</v>
      </c>
      <c r="H16" t="s">
        <v>78</v>
      </c>
      <c r="I16" t="s">
        <v>160</v>
      </c>
    </row>
    <row r="17" spans="2:9" x14ac:dyDescent="0.2">
      <c r="F17" t="s">
        <v>81</v>
      </c>
      <c r="G17" s="36">
        <v>8.3333333333333329E-2</v>
      </c>
      <c r="H17" t="s">
        <v>78</v>
      </c>
      <c r="I17" t="s">
        <v>161</v>
      </c>
    </row>
    <row r="18" spans="2:9" x14ac:dyDescent="0.2">
      <c r="F18" t="s">
        <v>82</v>
      </c>
      <c r="G18" s="36">
        <v>8.3333333333333329E-2</v>
      </c>
      <c r="H18" t="s">
        <v>78</v>
      </c>
      <c r="I18" t="s">
        <v>162</v>
      </c>
    </row>
    <row r="19" spans="2:9" x14ac:dyDescent="0.2">
      <c r="B19" s="37" t="str">
        <f>Αρχική!F24</f>
        <v>España</v>
      </c>
      <c r="C19" s="62">
        <f>VLOOKUP(Αρχική!F24,F13:H25,2)</f>
        <v>0.16666666666666666</v>
      </c>
      <c r="D19" s="62" t="str">
        <f>VLOOKUP(B19,F13:H25,3)</f>
        <v>+</v>
      </c>
      <c r="F19" t="s">
        <v>50</v>
      </c>
      <c r="G19" s="36">
        <v>0.16666666666666666</v>
      </c>
      <c r="H19" t="s">
        <v>79</v>
      </c>
      <c r="I19" t="s">
        <v>163</v>
      </c>
    </row>
    <row r="20" spans="2:9" x14ac:dyDescent="0.2">
      <c r="F20" t="s">
        <v>99</v>
      </c>
      <c r="G20" s="36">
        <v>8.3333333333333329E-2</v>
      </c>
      <c r="H20" t="s">
        <v>79</v>
      </c>
      <c r="I20" t="s">
        <v>164</v>
      </c>
    </row>
    <row r="21" spans="2:9" x14ac:dyDescent="0.2">
      <c r="F21" t="s">
        <v>37</v>
      </c>
      <c r="G21" s="36">
        <v>4.1666666666666664E-2</v>
      </c>
      <c r="H21" t="s">
        <v>78</v>
      </c>
      <c r="I21" t="s">
        <v>166</v>
      </c>
    </row>
    <row r="22" spans="2:9" x14ac:dyDescent="0.2">
      <c r="F22" t="s">
        <v>80</v>
      </c>
      <c r="G22" s="36">
        <v>8.3333333333333329E-2</v>
      </c>
      <c r="H22" t="s">
        <v>78</v>
      </c>
      <c r="I22" t="s">
        <v>165</v>
      </c>
    </row>
    <row r="23" spans="2:9" x14ac:dyDescent="0.2">
      <c r="F23" t="s">
        <v>21</v>
      </c>
      <c r="G23" s="36">
        <v>0.25</v>
      </c>
      <c r="H23" t="s">
        <v>79</v>
      </c>
      <c r="I23" t="s">
        <v>167</v>
      </c>
    </row>
    <row r="24" spans="2:9" x14ac:dyDescent="0.2">
      <c r="F24" t="s">
        <v>39</v>
      </c>
      <c r="G24" s="36">
        <v>0</v>
      </c>
      <c r="H24" t="s">
        <v>78</v>
      </c>
      <c r="I24" t="s">
        <v>168</v>
      </c>
    </row>
    <row r="25" spans="2:9" x14ac:dyDescent="0.2">
      <c r="F25" t="s">
        <v>86</v>
      </c>
      <c r="G25" s="36">
        <v>6.25E-2</v>
      </c>
      <c r="H25" t="s">
        <v>78</v>
      </c>
      <c r="I25" t="s">
        <v>169</v>
      </c>
    </row>
  </sheetData>
  <customSheetViews>
    <customSheetView guid="{95E402C5-2143-4FCF-AAA0-B9B99670355B}" state="hidden">
      <selection activeCell="K25" sqref="K25"/>
      <pageMargins left="0.7" right="0.7" top="0.75" bottom="0.75" header="0.51180555555555551" footer="0.51180555555555551"/>
      <pageSetup firstPageNumber="0" orientation="portrait" horizontalDpi="300" verticalDpi="300"/>
      <headerFooter alignWithMargins="0"/>
    </customSheetView>
  </customSheetView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R57"/>
  <sheetViews>
    <sheetView topLeftCell="A28" workbookViewId="0">
      <selection activeCell="M2" sqref="M2"/>
    </sheetView>
  </sheetViews>
  <sheetFormatPr defaultColWidth="11.42578125" defaultRowHeight="12.75" x14ac:dyDescent="0.2"/>
  <cols>
    <col min="4" max="4" width="18.7109375" customWidth="1"/>
    <col min="5" max="5" width="3.7109375" customWidth="1"/>
    <col min="6" max="6" width="14.5703125" customWidth="1"/>
    <col min="7" max="7" width="4" customWidth="1"/>
  </cols>
  <sheetData>
    <row r="1" spans="1:18" x14ac:dyDescent="0.2">
      <c r="A1" s="112" t="s">
        <v>74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8" x14ac:dyDescent="0.2">
      <c r="A2" s="53" t="s">
        <v>75</v>
      </c>
      <c r="B2" s="53" t="s">
        <v>76</v>
      </c>
      <c r="C2" s="53" t="s">
        <v>77</v>
      </c>
      <c r="D2" s="112" t="s">
        <v>1</v>
      </c>
      <c r="E2" s="112"/>
      <c r="F2" s="112"/>
      <c r="G2" s="112"/>
      <c r="H2" s="53" t="s">
        <v>77</v>
      </c>
      <c r="I2" s="53" t="s">
        <v>76</v>
      </c>
      <c r="J2" s="53" t="s">
        <v>75</v>
      </c>
      <c r="M2" s="67" t="s">
        <v>2</v>
      </c>
      <c r="N2" s="67" t="s">
        <v>87</v>
      </c>
      <c r="O2" s="67" t="s">
        <v>88</v>
      </c>
      <c r="P2" s="67" t="s">
        <v>89</v>
      </c>
      <c r="Q2" s="67" t="s">
        <v>25</v>
      </c>
      <c r="R2" s="67" t="s">
        <v>26</v>
      </c>
    </row>
    <row r="3" spans="1:18" x14ac:dyDescent="0.2">
      <c r="A3" s="54">
        <f>IF(ISBLANK('Γκρουπ Α'!$G17),0,IF(ISBLANK('Γκρουπ Α'!$I17),0,1))</f>
        <v>0</v>
      </c>
      <c r="B3" s="54">
        <f>IF(E3&lt;G3,1,0)</f>
        <v>0</v>
      </c>
      <c r="C3" s="54">
        <f>IF(E3&gt;G3,1,0)</f>
        <v>0</v>
      </c>
      <c r="D3" s="54" t="str">
        <f>Ομάδες!$D$2</f>
        <v>Βραζιλία</v>
      </c>
      <c r="E3" s="54">
        <f>'Γκρουπ Α'!G17</f>
        <v>0</v>
      </c>
      <c r="F3" s="54" t="str">
        <f>Ομάδες!$D$3</f>
        <v>Κροατία</v>
      </c>
      <c r="G3" s="54">
        <f>'Γκρουπ Α'!I17</f>
        <v>0</v>
      </c>
      <c r="H3" s="54">
        <f>IF(G3&gt;E3,1,0)</f>
        <v>0</v>
      </c>
      <c r="I3" s="54">
        <f>IF(G3&lt;E3,1,0)</f>
        <v>0</v>
      </c>
      <c r="J3" s="54">
        <f>IF(ISBLANK('Γκρουπ Α'!$G17),0,IF(ISBLANK('Γκρουπ Α'!$I17),0,1))</f>
        <v>0</v>
      </c>
      <c r="L3" s="54" t="str">
        <f>Ομάδες!D2</f>
        <v>Βραζιλία</v>
      </c>
      <c r="M3">
        <f>A3+A5+J7</f>
        <v>0</v>
      </c>
      <c r="N3">
        <f>C3+C5+H7</f>
        <v>0</v>
      </c>
      <c r="O3">
        <f>B3+B5+I7</f>
        <v>0</v>
      </c>
      <c r="P3">
        <f>M3-(N3+O3)</f>
        <v>0</v>
      </c>
      <c r="Q3">
        <f>E3+E5+G7</f>
        <v>0</v>
      </c>
      <c r="R3">
        <f>G3+G5+E7</f>
        <v>0</v>
      </c>
    </row>
    <row r="4" spans="1:18" x14ac:dyDescent="0.2">
      <c r="A4" s="54">
        <f>IF(ISBLANK('Γκρουπ Α'!$G18),0,IF(ISBLANK('Γκρουπ Α'!$I18),0,1))</f>
        <v>0</v>
      </c>
      <c r="B4" s="54">
        <f t="shared" ref="B4:B57" si="0">IF(E4&lt;G4,1,0)</f>
        <v>0</v>
      </c>
      <c r="C4" s="54">
        <f t="shared" ref="C4:C57" si="1">IF(E4&gt;G4,1,0)</f>
        <v>0</v>
      </c>
      <c r="D4" s="54" t="str">
        <f>Ομάδες!$D$4</f>
        <v>Μεξικό</v>
      </c>
      <c r="E4" s="54">
        <f>'Γκρουπ Α'!G18</f>
        <v>0</v>
      </c>
      <c r="F4" s="54" t="str">
        <f>Ομάδες!$D$5</f>
        <v>Καμερούν</v>
      </c>
      <c r="G4" s="54">
        <f>'Γκρουπ Α'!I18</f>
        <v>0</v>
      </c>
      <c r="H4" s="54">
        <f t="shared" ref="H4:H57" si="2">IF(G4&gt;E4,1,0)</f>
        <v>0</v>
      </c>
      <c r="I4" s="54">
        <f t="shared" ref="I4:I57" si="3">IF(G4&lt;E4,1,0)</f>
        <v>0</v>
      </c>
      <c r="J4" s="54">
        <f>IF(ISBLANK('Γκρουπ Α'!$G18),0,IF(ISBLANK('Γκρουπ Α'!$I18),0,1))</f>
        <v>0</v>
      </c>
      <c r="L4" s="54" t="str">
        <f>Ομάδες!D3</f>
        <v>Κροατία</v>
      </c>
      <c r="M4">
        <f>J3+J6+A8</f>
        <v>0</v>
      </c>
      <c r="N4">
        <f>H3+H6+C8</f>
        <v>0</v>
      </c>
      <c r="O4">
        <f>I3+I6+B8</f>
        <v>0</v>
      </c>
      <c r="P4">
        <f t="shared" ref="P4:P6" si="4">M4-(N4+O4)</f>
        <v>0</v>
      </c>
      <c r="Q4">
        <f>G3+G6+E8</f>
        <v>0</v>
      </c>
      <c r="R4">
        <f>E3+E6+G8</f>
        <v>0</v>
      </c>
    </row>
    <row r="5" spans="1:18" x14ac:dyDescent="0.2">
      <c r="A5" s="54">
        <f>IF(ISBLANK('Γκρουπ Α'!$G19),0,IF(ISBLANK('Γκρουπ Α'!$I19),0,1))</f>
        <v>0</v>
      </c>
      <c r="B5" s="54">
        <f t="shared" si="0"/>
        <v>0</v>
      </c>
      <c r="C5" s="54">
        <f t="shared" si="1"/>
        <v>0</v>
      </c>
      <c r="D5" s="54" t="str">
        <f>Ομάδες!$D$2</f>
        <v>Βραζιλία</v>
      </c>
      <c r="E5" s="54">
        <f>'Γκρουπ Α'!G19</f>
        <v>0</v>
      </c>
      <c r="F5" s="54" t="str">
        <f>Ομάδες!$D$4</f>
        <v>Μεξικό</v>
      </c>
      <c r="G5" s="54">
        <f>'Γκρουπ Α'!I19</f>
        <v>0</v>
      </c>
      <c r="H5" s="54">
        <f t="shared" si="2"/>
        <v>0</v>
      </c>
      <c r="I5" s="54">
        <f t="shared" si="3"/>
        <v>0</v>
      </c>
      <c r="J5" s="54">
        <f>IF(ISBLANK('Γκρουπ Α'!$G19),0,IF(ISBLANK('Γκρουπ Α'!$I19),0,1))</f>
        <v>0</v>
      </c>
      <c r="L5" s="54" t="str">
        <f>Ομάδες!D4</f>
        <v>Μεξικό</v>
      </c>
      <c r="M5">
        <f>A4+J5+J8</f>
        <v>0</v>
      </c>
      <c r="N5">
        <f>C4+H5+H8</f>
        <v>0</v>
      </c>
      <c r="O5">
        <f>B4+I5+I8</f>
        <v>0</v>
      </c>
      <c r="P5">
        <f t="shared" si="4"/>
        <v>0</v>
      </c>
      <c r="Q5">
        <f>E4+G5+G8</f>
        <v>0</v>
      </c>
      <c r="R5">
        <f>G4+E5+E8</f>
        <v>0</v>
      </c>
    </row>
    <row r="6" spans="1:18" x14ac:dyDescent="0.2">
      <c r="A6" s="54">
        <f>IF(ISBLANK('Γκρουπ Α'!$G20),0,IF(ISBLANK('Γκρουπ Α'!$I20),0,1))</f>
        <v>0</v>
      </c>
      <c r="B6" s="54">
        <f t="shared" si="0"/>
        <v>0</v>
      </c>
      <c r="C6" s="54">
        <f t="shared" si="1"/>
        <v>0</v>
      </c>
      <c r="D6" s="54" t="str">
        <f>Ομάδες!$D$5</f>
        <v>Καμερούν</v>
      </c>
      <c r="E6" s="54">
        <f>'Γκρουπ Α'!G20</f>
        <v>0</v>
      </c>
      <c r="F6" s="54" t="str">
        <f>Ομάδες!$D$3</f>
        <v>Κροατία</v>
      </c>
      <c r="G6" s="54">
        <f>'Γκρουπ Α'!I20</f>
        <v>0</v>
      </c>
      <c r="H6" s="54">
        <f t="shared" si="2"/>
        <v>0</v>
      </c>
      <c r="I6" s="54">
        <f t="shared" si="3"/>
        <v>0</v>
      </c>
      <c r="J6" s="54">
        <f>IF(ISBLANK('Γκρουπ Α'!$G20),0,IF(ISBLANK('Γκρουπ Α'!$I20),0,1))</f>
        <v>0</v>
      </c>
      <c r="L6" s="54" t="str">
        <f>Ομάδες!D5</f>
        <v>Καμερούν</v>
      </c>
      <c r="M6">
        <f>J4+A6+A7</f>
        <v>0</v>
      </c>
      <c r="N6">
        <f>H4+C6+C7</f>
        <v>0</v>
      </c>
      <c r="O6">
        <f>I4+B6+B7</f>
        <v>0</v>
      </c>
      <c r="P6">
        <f t="shared" si="4"/>
        <v>0</v>
      </c>
      <c r="Q6">
        <f>G4+E6+E7</f>
        <v>0</v>
      </c>
      <c r="R6">
        <f>E4+G6+G7</f>
        <v>0</v>
      </c>
    </row>
    <row r="7" spans="1:18" x14ac:dyDescent="0.2">
      <c r="A7" s="54">
        <f>IF(ISBLANK('Γκρουπ Α'!$G21),0,IF(ISBLANK('Γκρουπ Α'!$I21),0,1))</f>
        <v>0</v>
      </c>
      <c r="B7" s="54">
        <f t="shared" si="0"/>
        <v>0</v>
      </c>
      <c r="C7" s="54">
        <f t="shared" si="1"/>
        <v>0</v>
      </c>
      <c r="D7" s="54" t="str">
        <f>Ομάδες!$D$5</f>
        <v>Καμερούν</v>
      </c>
      <c r="E7" s="54">
        <f>'Γκρουπ Α'!G21</f>
        <v>0</v>
      </c>
      <c r="F7" s="54" t="str">
        <f>Ομάδες!$D$2</f>
        <v>Βραζιλία</v>
      </c>
      <c r="G7" s="54">
        <f>'Γκρουπ Α'!I21</f>
        <v>0</v>
      </c>
      <c r="H7" s="54">
        <f t="shared" si="2"/>
        <v>0</v>
      </c>
      <c r="I7" s="54">
        <f t="shared" si="3"/>
        <v>0</v>
      </c>
      <c r="J7" s="54">
        <f>IF(ISBLANK('Γκρουπ Α'!$G21),0,IF(ISBLANK('Γκρουπ Α'!$I21),0,1))</f>
        <v>0</v>
      </c>
    </row>
    <row r="8" spans="1:18" x14ac:dyDescent="0.2">
      <c r="A8" s="54">
        <f>IF(ISBLANK('Γκρουπ Α'!$G22),0,IF(ISBLANK('Γκρουπ Α'!$I22),0,1))</f>
        <v>0</v>
      </c>
      <c r="B8" s="54">
        <f t="shared" si="0"/>
        <v>0</v>
      </c>
      <c r="C8" s="54">
        <f t="shared" si="1"/>
        <v>0</v>
      </c>
      <c r="D8" s="54" t="str">
        <f>Ομάδες!$D$3</f>
        <v>Κροατία</v>
      </c>
      <c r="E8" s="54">
        <f>'Γκρουπ Α'!G22</f>
        <v>0</v>
      </c>
      <c r="F8" s="54" t="str">
        <f>Ομάδες!$D$4</f>
        <v>Μεξικό</v>
      </c>
      <c r="G8" s="54">
        <f>'Γκρουπ Α'!I22</f>
        <v>0</v>
      </c>
      <c r="H8" s="54">
        <f t="shared" si="2"/>
        <v>0</v>
      </c>
      <c r="I8" s="54">
        <f t="shared" si="3"/>
        <v>0</v>
      </c>
      <c r="J8" s="54">
        <f>IF(ISBLANK('Γκρουπ Α'!$G22),0,IF(ISBLANK('Γκρουπ Α'!$I22),0,1))</f>
        <v>0</v>
      </c>
    </row>
    <row r="9" spans="1:18" x14ac:dyDescent="0.2">
      <c r="A9" s="54"/>
      <c r="B9" s="54"/>
      <c r="C9" s="54"/>
      <c r="D9" s="112" t="s">
        <v>4</v>
      </c>
      <c r="E9" s="112"/>
      <c r="F9" s="112"/>
      <c r="G9" s="112"/>
      <c r="H9" s="54"/>
      <c r="I9" s="54"/>
      <c r="J9" s="54"/>
      <c r="M9" s="67" t="s">
        <v>2</v>
      </c>
      <c r="N9" s="67" t="s">
        <v>87</v>
      </c>
      <c r="O9" s="67" t="s">
        <v>88</v>
      </c>
      <c r="P9" s="67" t="s">
        <v>89</v>
      </c>
      <c r="Q9" s="67" t="s">
        <v>25</v>
      </c>
      <c r="R9" s="67" t="s">
        <v>26</v>
      </c>
    </row>
    <row r="10" spans="1:18" x14ac:dyDescent="0.2">
      <c r="A10" s="54">
        <f>IF(ISBLANK('Γκρουπ Β'!$G17),0,IF(ISBLANK('Γκρουπ Β'!$I17),0,1))</f>
        <v>0</v>
      </c>
      <c r="B10" s="54">
        <f t="shared" si="0"/>
        <v>0</v>
      </c>
      <c r="C10" s="54">
        <f t="shared" si="1"/>
        <v>0</v>
      </c>
      <c r="D10" s="54" t="str">
        <f>Ομάδες!$D$7</f>
        <v>Ισπανία</v>
      </c>
      <c r="E10" s="54">
        <f>'Γκρουπ Β'!G17</f>
        <v>0</v>
      </c>
      <c r="F10" s="54" t="str">
        <f>Ομάδες!$D$8</f>
        <v>Ολλανδία</v>
      </c>
      <c r="G10" s="54">
        <f>'Γκρουπ Β'!I17</f>
        <v>0</v>
      </c>
      <c r="H10" s="54">
        <f t="shared" si="2"/>
        <v>0</v>
      </c>
      <c r="I10" s="54">
        <f t="shared" si="3"/>
        <v>0</v>
      </c>
      <c r="J10" s="54">
        <f>IF(ISBLANK('Γκρουπ Β'!$G17),0,IF(ISBLANK('Γκρουπ Β'!$I17),0,1))</f>
        <v>0</v>
      </c>
      <c r="L10" t="str">
        <f>Ομάδες!D7</f>
        <v>Ισπανία</v>
      </c>
      <c r="M10">
        <f>A10+A12+J14</f>
        <v>0</v>
      </c>
      <c r="N10">
        <f>C10+C12+H14</f>
        <v>0</v>
      </c>
      <c r="O10">
        <f>B10+B12+I14</f>
        <v>0</v>
      </c>
      <c r="P10">
        <f>M10-(N10+O10)</f>
        <v>0</v>
      </c>
      <c r="Q10">
        <f>E10+E12+G14</f>
        <v>0</v>
      </c>
      <c r="R10">
        <f>G10+G12+E14</f>
        <v>0</v>
      </c>
    </row>
    <row r="11" spans="1:18" x14ac:dyDescent="0.2">
      <c r="A11" s="54">
        <f>IF(ISBLANK('Γκρουπ Β'!$G18),0,IF(ISBLANK('Γκρουπ Β'!$I18),0,1))</f>
        <v>0</v>
      </c>
      <c r="B11" s="54">
        <f t="shared" si="0"/>
        <v>0</v>
      </c>
      <c r="C11" s="54">
        <f t="shared" si="1"/>
        <v>0</v>
      </c>
      <c r="D11" s="54" t="str">
        <f>Ομάδες!$D$9</f>
        <v>Χιλή</v>
      </c>
      <c r="E11" s="54">
        <f>'Γκρουπ Β'!G18</f>
        <v>0</v>
      </c>
      <c r="F11" s="54" t="str">
        <f>Ομάδες!$D$10</f>
        <v>Αυστραλία</v>
      </c>
      <c r="G11" s="54">
        <f>'Γκρουπ Β'!I18</f>
        <v>0</v>
      </c>
      <c r="H11" s="54">
        <f t="shared" si="2"/>
        <v>0</v>
      </c>
      <c r="I11" s="54">
        <f t="shared" si="3"/>
        <v>0</v>
      </c>
      <c r="J11" s="54">
        <f>IF(ISBLANK('Γκρουπ Β'!$G18),0,IF(ISBLANK('Γκρουπ Β'!$I18),0,1))</f>
        <v>0</v>
      </c>
      <c r="L11" t="str">
        <f>Ομάδες!D8</f>
        <v>Ολλανδία</v>
      </c>
      <c r="M11">
        <f>J10+J13+A15</f>
        <v>0</v>
      </c>
      <c r="N11">
        <f>H10+H13+C15</f>
        <v>0</v>
      </c>
      <c r="O11">
        <f>I10+I13+B15</f>
        <v>0</v>
      </c>
      <c r="P11">
        <f t="shared" ref="P11:P13" si="5">M11-(N11+O11)</f>
        <v>0</v>
      </c>
      <c r="Q11">
        <f>G10+G13+E15</f>
        <v>0</v>
      </c>
      <c r="R11">
        <f>E10+E13+G15</f>
        <v>0</v>
      </c>
    </row>
    <row r="12" spans="1:18" x14ac:dyDescent="0.2">
      <c r="A12" s="54">
        <f>IF(ISBLANK('Γκρουπ Β'!$G19),0,IF(ISBLANK('Γκρουπ Β'!$I19),0,1))</f>
        <v>0</v>
      </c>
      <c r="B12" s="54">
        <f t="shared" si="0"/>
        <v>0</v>
      </c>
      <c r="C12" s="54">
        <f t="shared" si="1"/>
        <v>0</v>
      </c>
      <c r="D12" s="54" t="str">
        <f>Ομάδες!$D$7</f>
        <v>Ισπανία</v>
      </c>
      <c r="E12" s="54">
        <f>'Γκρουπ Β'!G19</f>
        <v>0</v>
      </c>
      <c r="F12" s="54" t="str">
        <f>Ομάδες!$D$9</f>
        <v>Χιλή</v>
      </c>
      <c r="G12" s="54">
        <f>'Γκρουπ Β'!I19</f>
        <v>0</v>
      </c>
      <c r="H12" s="54">
        <f t="shared" si="2"/>
        <v>0</v>
      </c>
      <c r="I12" s="54">
        <f t="shared" si="3"/>
        <v>0</v>
      </c>
      <c r="J12" s="54">
        <f>IF(ISBLANK('Γκρουπ Β'!$G19),0,IF(ISBLANK('Γκρουπ Β'!$I19),0,1))</f>
        <v>0</v>
      </c>
      <c r="L12" t="str">
        <f>Ομάδες!D9</f>
        <v>Χιλή</v>
      </c>
      <c r="M12">
        <f>A11+J12+J15</f>
        <v>0</v>
      </c>
      <c r="N12">
        <f>C11+H12+H15</f>
        <v>0</v>
      </c>
      <c r="O12">
        <f>B11+I12+I15</f>
        <v>0</v>
      </c>
      <c r="P12">
        <f t="shared" si="5"/>
        <v>0</v>
      </c>
      <c r="Q12">
        <f>E11+G12+G15</f>
        <v>0</v>
      </c>
      <c r="R12">
        <f>G11+E12+E15</f>
        <v>0</v>
      </c>
    </row>
    <row r="13" spans="1:18" x14ac:dyDescent="0.2">
      <c r="A13" s="54">
        <f>IF(ISBLANK('Γκρουπ Β'!$G20),0,IF(ISBLANK('Γκρουπ Β'!$I20),0,1))</f>
        <v>0</v>
      </c>
      <c r="B13" s="54">
        <f t="shared" si="0"/>
        <v>0</v>
      </c>
      <c r="C13" s="54">
        <f t="shared" si="1"/>
        <v>0</v>
      </c>
      <c r="D13" s="54" t="str">
        <f>Ομάδες!$D$10</f>
        <v>Αυστραλία</v>
      </c>
      <c r="E13" s="54">
        <f>'Γκρουπ Β'!G20</f>
        <v>0</v>
      </c>
      <c r="F13" s="54" t="str">
        <f>Ομάδες!$D$8</f>
        <v>Ολλανδία</v>
      </c>
      <c r="G13" s="54">
        <f>'Γκρουπ Β'!I20</f>
        <v>0</v>
      </c>
      <c r="H13" s="54">
        <f t="shared" si="2"/>
        <v>0</v>
      </c>
      <c r="I13" s="54">
        <f t="shared" si="3"/>
        <v>0</v>
      </c>
      <c r="J13" s="54">
        <f>IF(ISBLANK('Γκρουπ Β'!$G20),0,IF(ISBLANK('Γκρουπ Β'!$I20),0,1))</f>
        <v>0</v>
      </c>
      <c r="L13" t="str">
        <f>Ομάδες!D10</f>
        <v>Αυστραλία</v>
      </c>
      <c r="M13">
        <f>J11+A13+A14</f>
        <v>0</v>
      </c>
      <c r="N13">
        <f>H11+C13+C14</f>
        <v>0</v>
      </c>
      <c r="O13">
        <f>I11+B13+B14</f>
        <v>0</v>
      </c>
      <c r="P13">
        <f t="shared" si="5"/>
        <v>0</v>
      </c>
      <c r="Q13">
        <f>G11+E13+E14</f>
        <v>0</v>
      </c>
      <c r="R13">
        <f>E11+G13+G14</f>
        <v>0</v>
      </c>
    </row>
    <row r="14" spans="1:18" x14ac:dyDescent="0.2">
      <c r="A14" s="54">
        <f>IF(ISBLANK('Γκρουπ Β'!$G21),0,IF(ISBLANK('Γκρουπ Β'!$I21),0,1))</f>
        <v>0</v>
      </c>
      <c r="B14" s="54">
        <f t="shared" si="0"/>
        <v>0</v>
      </c>
      <c r="C14" s="54">
        <f t="shared" si="1"/>
        <v>0</v>
      </c>
      <c r="D14" s="54" t="str">
        <f>Ομάδες!$D$10</f>
        <v>Αυστραλία</v>
      </c>
      <c r="E14" s="54">
        <f>'Γκρουπ Β'!G21</f>
        <v>0</v>
      </c>
      <c r="F14" s="54" t="str">
        <f>Ομάδες!$D$7</f>
        <v>Ισπανία</v>
      </c>
      <c r="G14" s="54">
        <f>'Γκρουπ Β'!I21</f>
        <v>0</v>
      </c>
      <c r="H14" s="54">
        <f t="shared" si="2"/>
        <v>0</v>
      </c>
      <c r="I14" s="54">
        <f t="shared" si="3"/>
        <v>0</v>
      </c>
      <c r="J14" s="54">
        <f>IF(ISBLANK('Γκρουπ Β'!$G21),0,IF(ISBLANK('Γκρουπ Β'!$I21),0,1))</f>
        <v>0</v>
      </c>
    </row>
    <row r="15" spans="1:18" x14ac:dyDescent="0.2">
      <c r="A15" s="54">
        <f>IF(ISBLANK('Γκρουπ Β'!$G22),0,IF(ISBLANK('Γκρουπ Β'!$I22),0,1))</f>
        <v>0</v>
      </c>
      <c r="B15" s="54">
        <f t="shared" si="0"/>
        <v>0</v>
      </c>
      <c r="C15" s="54">
        <f t="shared" si="1"/>
        <v>0</v>
      </c>
      <c r="D15" s="54" t="str">
        <f>Ομάδες!$D$8</f>
        <v>Ολλανδία</v>
      </c>
      <c r="E15" s="54">
        <f>'Γκρουπ Β'!G22</f>
        <v>0</v>
      </c>
      <c r="F15" s="54" t="str">
        <f>Ομάδες!$D$9</f>
        <v>Χιλή</v>
      </c>
      <c r="G15" s="54">
        <f>'Γκρουπ Β'!I22</f>
        <v>0</v>
      </c>
      <c r="H15" s="54">
        <f t="shared" si="2"/>
        <v>0</v>
      </c>
      <c r="I15" s="54">
        <f t="shared" si="3"/>
        <v>0</v>
      </c>
      <c r="J15" s="54">
        <f>IF(ISBLANK('Γκρουπ Β'!$G22),0,IF(ISBLANK('Γκρουπ Β'!$I22),0,1))</f>
        <v>0</v>
      </c>
    </row>
    <row r="16" spans="1:18" x14ac:dyDescent="0.2">
      <c r="A16" s="54"/>
      <c r="B16" s="54"/>
      <c r="C16" s="54"/>
      <c r="D16" s="112" t="s">
        <v>11</v>
      </c>
      <c r="E16" s="112"/>
      <c r="F16" s="112"/>
      <c r="G16" s="112"/>
      <c r="H16" s="54"/>
      <c r="I16" s="54"/>
      <c r="J16" s="54"/>
      <c r="M16" s="67" t="s">
        <v>2</v>
      </c>
      <c r="N16" s="67" t="s">
        <v>87</v>
      </c>
      <c r="O16" s="67" t="s">
        <v>88</v>
      </c>
      <c r="P16" s="67" t="s">
        <v>89</v>
      </c>
      <c r="Q16" s="67" t="s">
        <v>25</v>
      </c>
      <c r="R16" s="67" t="s">
        <v>26</v>
      </c>
    </row>
    <row r="17" spans="1:18" x14ac:dyDescent="0.2">
      <c r="A17" s="54">
        <f>IF(ISBLANK('Γκρουπ Γ'!$G17),0,IF(ISBLANK('Γκρουπ Γ'!$I17),0,1))</f>
        <v>0</v>
      </c>
      <c r="B17" s="54">
        <f t="shared" si="0"/>
        <v>0</v>
      </c>
      <c r="C17" s="54">
        <f t="shared" si="1"/>
        <v>0</v>
      </c>
      <c r="D17" s="54" t="str">
        <f>Ομάδες!$D$12</f>
        <v>Κολομβία</v>
      </c>
      <c r="E17" s="54">
        <f>'Γκρουπ Γ'!G17</f>
        <v>0</v>
      </c>
      <c r="F17" s="54" t="str">
        <f>Ομάδες!$D$13</f>
        <v>Ελλάδα</v>
      </c>
      <c r="G17" s="54">
        <f>'Γκρουπ Γ'!I17</f>
        <v>0</v>
      </c>
      <c r="H17" s="54">
        <f t="shared" si="2"/>
        <v>0</v>
      </c>
      <c r="I17" s="54">
        <f t="shared" si="3"/>
        <v>0</v>
      </c>
      <c r="J17" s="54">
        <f>IF(ISBLANK('Γκρουπ Γ'!$G17),0,IF(ISBLANK('Γκρουπ Γ'!$I17),0,1))</f>
        <v>0</v>
      </c>
      <c r="L17" s="54" t="str">
        <f>Ομάδες!D12</f>
        <v>Κολομβία</v>
      </c>
      <c r="M17">
        <f>A17+A19+J21</f>
        <v>0</v>
      </c>
      <c r="N17">
        <f>C17+C19+H21</f>
        <v>0</v>
      </c>
      <c r="O17">
        <f>B17+B19+I21</f>
        <v>0</v>
      </c>
      <c r="P17">
        <f>M17-(N17+O17)</f>
        <v>0</v>
      </c>
      <c r="Q17">
        <f>E17+E19+G21</f>
        <v>0</v>
      </c>
      <c r="R17">
        <f>G17+G19+E21</f>
        <v>0</v>
      </c>
    </row>
    <row r="18" spans="1:18" x14ac:dyDescent="0.2">
      <c r="A18" s="54">
        <f>IF(ISBLANK('Γκρουπ Γ'!$G18),0,IF(ISBLANK('Γκρουπ Γ'!$I18),0,1))</f>
        <v>0</v>
      </c>
      <c r="B18" s="54">
        <f t="shared" si="0"/>
        <v>0</v>
      </c>
      <c r="C18" s="54">
        <f t="shared" si="1"/>
        <v>0</v>
      </c>
      <c r="D18" s="54" t="str">
        <f>Ομάδες!$D$14</f>
        <v>Ακτή Ελεφαντοστού</v>
      </c>
      <c r="E18" s="54">
        <f>'Γκρουπ Γ'!G18</f>
        <v>0</v>
      </c>
      <c r="F18" s="54" t="str">
        <f>Ομάδες!$D$15</f>
        <v>Ιαπωνία</v>
      </c>
      <c r="G18" s="54">
        <f>'Γκρουπ Γ'!I18</f>
        <v>0</v>
      </c>
      <c r="H18" s="54">
        <f t="shared" si="2"/>
        <v>0</v>
      </c>
      <c r="I18" s="54">
        <f t="shared" si="3"/>
        <v>0</v>
      </c>
      <c r="J18" s="54">
        <f>IF(ISBLANK('Γκρουπ Γ'!$G18),0,IF(ISBLANK('Γκρουπ Γ'!$I18),0,1))</f>
        <v>0</v>
      </c>
      <c r="L18" s="54" t="str">
        <f>Ομάδες!D13</f>
        <v>Ελλάδα</v>
      </c>
      <c r="M18">
        <f>J17+J20+A22</f>
        <v>0</v>
      </c>
      <c r="N18">
        <f>H17+H20+C22</f>
        <v>0</v>
      </c>
      <c r="O18">
        <f>I17+I20+B22</f>
        <v>0</v>
      </c>
      <c r="P18">
        <f t="shared" ref="P18:P20" si="6">M18-(N18+O18)</f>
        <v>0</v>
      </c>
      <c r="Q18">
        <f>G17+G20+E22</f>
        <v>0</v>
      </c>
      <c r="R18">
        <f>E17+E20+G22</f>
        <v>0</v>
      </c>
    </row>
    <row r="19" spans="1:18" x14ac:dyDescent="0.2">
      <c r="A19" s="54">
        <f>IF(ISBLANK('Γκρουπ Γ'!$G19),0,IF(ISBLANK('Γκρουπ Γ'!$I19),0,1))</f>
        <v>0</v>
      </c>
      <c r="B19" s="54">
        <f t="shared" si="0"/>
        <v>0</v>
      </c>
      <c r="C19" s="54">
        <f t="shared" si="1"/>
        <v>0</v>
      </c>
      <c r="D19" s="54" t="str">
        <f>Ομάδες!$D$12</f>
        <v>Κολομβία</v>
      </c>
      <c r="E19" s="54">
        <f>'Γκρουπ Γ'!G19</f>
        <v>0</v>
      </c>
      <c r="F19" s="54" t="str">
        <f>Ομάδες!$D$14</f>
        <v>Ακτή Ελεφαντοστού</v>
      </c>
      <c r="G19" s="54">
        <f>'Γκρουπ Γ'!I19</f>
        <v>0</v>
      </c>
      <c r="H19" s="54">
        <f t="shared" si="2"/>
        <v>0</v>
      </c>
      <c r="I19" s="54">
        <f t="shared" si="3"/>
        <v>0</v>
      </c>
      <c r="J19" s="54">
        <f>IF(ISBLANK('Γκρουπ Γ'!$G19),0,IF(ISBLANK('Γκρουπ Γ'!$I19),0,1))</f>
        <v>0</v>
      </c>
      <c r="L19" s="54" t="str">
        <f>Ομάδες!D14</f>
        <v>Ακτή Ελεφαντοστού</v>
      </c>
      <c r="M19">
        <f>A18+J19+J22</f>
        <v>0</v>
      </c>
      <c r="N19">
        <f>C18+H19+H22</f>
        <v>0</v>
      </c>
      <c r="O19">
        <f>B18+I19+I22</f>
        <v>0</v>
      </c>
      <c r="P19">
        <f t="shared" si="6"/>
        <v>0</v>
      </c>
      <c r="Q19">
        <f>E18+G19+G22</f>
        <v>0</v>
      </c>
      <c r="R19">
        <f>G18+E19+E22</f>
        <v>0</v>
      </c>
    </row>
    <row r="20" spans="1:18" x14ac:dyDescent="0.2">
      <c r="A20" s="54">
        <f>IF(ISBLANK('Γκρουπ Γ'!$G20),0,IF(ISBLANK('Γκρουπ Γ'!$I20),0,1))</f>
        <v>0</v>
      </c>
      <c r="B20" s="54">
        <f t="shared" si="0"/>
        <v>0</v>
      </c>
      <c r="C20" s="54">
        <f t="shared" si="1"/>
        <v>0</v>
      </c>
      <c r="D20" s="54" t="str">
        <f>Ομάδες!$D$15</f>
        <v>Ιαπωνία</v>
      </c>
      <c r="E20" s="54">
        <f>'Γκρουπ Γ'!G20</f>
        <v>0</v>
      </c>
      <c r="F20" s="54" t="str">
        <f>Ομάδες!$D$13</f>
        <v>Ελλάδα</v>
      </c>
      <c r="G20" s="54">
        <f>'Γκρουπ Γ'!I20</f>
        <v>0</v>
      </c>
      <c r="H20" s="54">
        <f t="shared" si="2"/>
        <v>0</v>
      </c>
      <c r="I20" s="54">
        <f t="shared" si="3"/>
        <v>0</v>
      </c>
      <c r="J20" s="54">
        <f>IF(ISBLANK('Γκρουπ Γ'!$G20),0,IF(ISBLANK('Γκρουπ Γ'!$I20),0,1))</f>
        <v>0</v>
      </c>
      <c r="L20" s="54" t="str">
        <f>Ομάδες!D15</f>
        <v>Ιαπωνία</v>
      </c>
      <c r="M20">
        <f>J18+A20+A21</f>
        <v>0</v>
      </c>
      <c r="N20">
        <f>H18+C20+C21</f>
        <v>0</v>
      </c>
      <c r="O20">
        <f>I18+B20+B21</f>
        <v>0</v>
      </c>
      <c r="P20">
        <f t="shared" si="6"/>
        <v>0</v>
      </c>
      <c r="Q20">
        <f>G18+E20+E21</f>
        <v>0</v>
      </c>
      <c r="R20">
        <f>E18+G20+G21</f>
        <v>0</v>
      </c>
    </row>
    <row r="21" spans="1:18" x14ac:dyDescent="0.2">
      <c r="A21" s="54">
        <f>IF(ISBLANK('Γκρουπ Γ'!$G21),0,IF(ISBLANK('Γκρουπ Γ'!$I21),0,1))</f>
        <v>0</v>
      </c>
      <c r="B21" s="54">
        <f t="shared" si="0"/>
        <v>0</v>
      </c>
      <c r="C21" s="54">
        <f t="shared" si="1"/>
        <v>0</v>
      </c>
      <c r="D21" s="54" t="str">
        <f>Ομάδες!$D$15</f>
        <v>Ιαπωνία</v>
      </c>
      <c r="E21" s="54">
        <f>'Γκρουπ Γ'!G21</f>
        <v>0</v>
      </c>
      <c r="F21" s="54" t="str">
        <f>Ομάδες!$D$12</f>
        <v>Κολομβία</v>
      </c>
      <c r="G21" s="54">
        <f>'Γκρουπ Γ'!I21</f>
        <v>0</v>
      </c>
      <c r="H21" s="54">
        <f t="shared" si="2"/>
        <v>0</v>
      </c>
      <c r="I21" s="54">
        <f t="shared" si="3"/>
        <v>0</v>
      </c>
      <c r="J21" s="54">
        <f>IF(ISBLANK('Γκρουπ Γ'!$G21),0,IF(ISBLANK('Γκρουπ Γ'!$I21),0,1))</f>
        <v>0</v>
      </c>
    </row>
    <row r="22" spans="1:18" x14ac:dyDescent="0.2">
      <c r="A22" s="54">
        <f>IF(ISBLANK('Γκρουπ Γ'!$G22),0,IF(ISBLANK('Γκρουπ Γ'!$I22),0,1))</f>
        <v>0</v>
      </c>
      <c r="B22" s="54">
        <f t="shared" si="0"/>
        <v>0</v>
      </c>
      <c r="C22" s="54">
        <f t="shared" si="1"/>
        <v>0</v>
      </c>
      <c r="D22" s="54" t="str">
        <f>Ομάδες!$D$13</f>
        <v>Ελλάδα</v>
      </c>
      <c r="E22" s="54">
        <f>'Γκρουπ Γ'!G22</f>
        <v>0</v>
      </c>
      <c r="F22" s="54" t="str">
        <f>Ομάδες!$D$14</f>
        <v>Ακτή Ελεφαντοστού</v>
      </c>
      <c r="G22" s="54">
        <f>'Γκρουπ Γ'!I22</f>
        <v>0</v>
      </c>
      <c r="H22" s="54">
        <f t="shared" si="2"/>
        <v>0</v>
      </c>
      <c r="I22" s="54">
        <f t="shared" si="3"/>
        <v>0</v>
      </c>
      <c r="J22" s="54">
        <f>IF(ISBLANK('Γκρουπ Γ'!$G22),0,IF(ISBLANK('Γκρουπ Γ'!$I22),0,1))</f>
        <v>0</v>
      </c>
    </row>
    <row r="23" spans="1:18" x14ac:dyDescent="0.2">
      <c r="A23" s="54"/>
      <c r="B23" s="54"/>
      <c r="C23" s="54"/>
      <c r="D23" s="112" t="s">
        <v>6</v>
      </c>
      <c r="E23" s="112"/>
      <c r="F23" s="112"/>
      <c r="G23" s="112"/>
      <c r="H23" s="54"/>
      <c r="I23" s="54"/>
      <c r="J23" s="54"/>
      <c r="M23" s="67" t="s">
        <v>2</v>
      </c>
      <c r="N23" s="67" t="s">
        <v>87</v>
      </c>
      <c r="O23" s="67" t="s">
        <v>88</v>
      </c>
      <c r="P23" s="67" t="s">
        <v>89</v>
      </c>
      <c r="Q23" s="67" t="s">
        <v>25</v>
      </c>
      <c r="R23" s="67" t="s">
        <v>26</v>
      </c>
    </row>
    <row r="24" spans="1:18" x14ac:dyDescent="0.2">
      <c r="A24" s="54">
        <f>IF(ISBLANK('Γκρουπ Δ'!$G17),0,IF(ISBLANK('Γκρουπ Δ'!$I17),0,1))</f>
        <v>0</v>
      </c>
      <c r="B24" s="54">
        <f t="shared" si="0"/>
        <v>0</v>
      </c>
      <c r="C24" s="54">
        <f t="shared" si="1"/>
        <v>0</v>
      </c>
      <c r="D24" s="54" t="str">
        <f>Ομάδες!$D$17</f>
        <v>Ουρουγουάη</v>
      </c>
      <c r="E24" s="54">
        <f>'Γκρουπ Δ'!G17</f>
        <v>0</v>
      </c>
      <c r="F24" s="54" t="str">
        <f>Ομάδες!$D$18</f>
        <v>Κόστα Ρίκα</v>
      </c>
      <c r="G24" s="54">
        <f>'Γκρουπ Δ'!I17</f>
        <v>0</v>
      </c>
      <c r="H24" s="54">
        <f t="shared" si="2"/>
        <v>0</v>
      </c>
      <c r="I24" s="54">
        <f t="shared" si="3"/>
        <v>0</v>
      </c>
      <c r="J24" s="54">
        <f>IF(ISBLANK('Γκρουπ Δ'!$G17),0,IF(ISBLANK('Γκρουπ Δ'!$I17),0,1))</f>
        <v>0</v>
      </c>
      <c r="L24" s="54" t="str">
        <f>Ομάδες!D17</f>
        <v>Ουρουγουάη</v>
      </c>
      <c r="M24">
        <f>A24+A26+J28</f>
        <v>0</v>
      </c>
      <c r="N24">
        <f>C24+C26+H28</f>
        <v>0</v>
      </c>
      <c r="O24">
        <f>B24+B26+I28</f>
        <v>0</v>
      </c>
      <c r="P24">
        <f>M24-(N24+O24)</f>
        <v>0</v>
      </c>
      <c r="Q24">
        <f>E24+E26+G28</f>
        <v>0</v>
      </c>
      <c r="R24">
        <f>G24+G26+E28</f>
        <v>0</v>
      </c>
    </row>
    <row r="25" spans="1:18" x14ac:dyDescent="0.2">
      <c r="A25" s="54">
        <f>IF(ISBLANK('Γκρουπ Δ'!$G18),0,IF(ISBLANK('Γκρουπ Δ'!$I18),0,1))</f>
        <v>0</v>
      </c>
      <c r="B25" s="54">
        <f t="shared" si="0"/>
        <v>0</v>
      </c>
      <c r="C25" s="54">
        <f t="shared" si="1"/>
        <v>0</v>
      </c>
      <c r="D25" s="54" t="str">
        <f>Ομάδες!$D$19</f>
        <v>Αγγλία</v>
      </c>
      <c r="E25" s="54">
        <f>'Γκρουπ Δ'!G18</f>
        <v>0</v>
      </c>
      <c r="F25" s="54" t="str">
        <f>Ομάδες!$D$20</f>
        <v>Ιταλία</v>
      </c>
      <c r="G25" s="54">
        <f>'Γκρουπ Δ'!I18</f>
        <v>0</v>
      </c>
      <c r="H25" s="54">
        <f t="shared" si="2"/>
        <v>0</v>
      </c>
      <c r="I25" s="54">
        <f t="shared" si="3"/>
        <v>0</v>
      </c>
      <c r="J25" s="54">
        <f>IF(ISBLANK('Γκρουπ Δ'!$G18),0,IF(ISBLANK('Γκρουπ Δ'!$I18),0,1))</f>
        <v>0</v>
      </c>
      <c r="L25" s="54" t="str">
        <f>Ομάδες!D18</f>
        <v>Κόστα Ρίκα</v>
      </c>
      <c r="M25">
        <f>J24+J27+A29</f>
        <v>0</v>
      </c>
      <c r="N25">
        <f>H24+H27+C29</f>
        <v>0</v>
      </c>
      <c r="O25">
        <f>I24+I27+B29</f>
        <v>0</v>
      </c>
      <c r="P25">
        <f t="shared" ref="P25:P27" si="7">M25-(N25+O25)</f>
        <v>0</v>
      </c>
      <c r="Q25">
        <f>G24+G27+E29</f>
        <v>0</v>
      </c>
      <c r="R25">
        <f>E24+E27+G29</f>
        <v>0</v>
      </c>
    </row>
    <row r="26" spans="1:18" x14ac:dyDescent="0.2">
      <c r="A26" s="54">
        <f>IF(ISBLANK('Γκρουπ Δ'!$G19),0,IF(ISBLANK('Γκρουπ Δ'!$I19),0,1))</f>
        <v>0</v>
      </c>
      <c r="B26" s="54">
        <f t="shared" si="0"/>
        <v>0</v>
      </c>
      <c r="C26" s="54">
        <f t="shared" si="1"/>
        <v>0</v>
      </c>
      <c r="D26" s="54" t="str">
        <f>Ομάδες!$D$17</f>
        <v>Ουρουγουάη</v>
      </c>
      <c r="E26" s="54">
        <f>'Γκρουπ Δ'!G19</f>
        <v>0</v>
      </c>
      <c r="F26" s="54" t="str">
        <f>Ομάδες!$D$19</f>
        <v>Αγγλία</v>
      </c>
      <c r="G26" s="54">
        <f>'Γκρουπ Δ'!I19</f>
        <v>0</v>
      </c>
      <c r="H26" s="54">
        <f t="shared" si="2"/>
        <v>0</v>
      </c>
      <c r="I26" s="54">
        <f t="shared" si="3"/>
        <v>0</v>
      </c>
      <c r="J26" s="54">
        <f>IF(ISBLANK('Γκρουπ Δ'!$G19),0,IF(ISBLANK('Γκρουπ Δ'!$I19),0,1))</f>
        <v>0</v>
      </c>
      <c r="L26" s="54" t="str">
        <f>Ομάδες!D19</f>
        <v>Αγγλία</v>
      </c>
      <c r="M26">
        <f>A25+J26+J29</f>
        <v>0</v>
      </c>
      <c r="N26">
        <f>C25+H26+H29</f>
        <v>0</v>
      </c>
      <c r="O26">
        <f>B25+I26+I29</f>
        <v>0</v>
      </c>
      <c r="P26">
        <f t="shared" si="7"/>
        <v>0</v>
      </c>
      <c r="Q26">
        <f>E25+G26+G29</f>
        <v>0</v>
      </c>
      <c r="R26">
        <f>G25+E26+E29</f>
        <v>0</v>
      </c>
    </row>
    <row r="27" spans="1:18" x14ac:dyDescent="0.2">
      <c r="A27" s="54">
        <f>IF(ISBLANK('Γκρουπ Δ'!$G20),0,IF(ISBLANK('Γκρουπ Δ'!$I20),0,1))</f>
        <v>0</v>
      </c>
      <c r="B27" s="54">
        <f t="shared" si="0"/>
        <v>0</v>
      </c>
      <c r="C27" s="54">
        <f t="shared" si="1"/>
        <v>0</v>
      </c>
      <c r="D27" s="54" t="str">
        <f>Ομάδες!$D$20</f>
        <v>Ιταλία</v>
      </c>
      <c r="E27" s="54">
        <f>'Γκρουπ Δ'!G20</f>
        <v>0</v>
      </c>
      <c r="F27" s="54" t="str">
        <f>Ομάδες!$D$18</f>
        <v>Κόστα Ρίκα</v>
      </c>
      <c r="G27" s="54">
        <f>'Γκρουπ Δ'!I20</f>
        <v>0</v>
      </c>
      <c r="H27" s="54">
        <f t="shared" si="2"/>
        <v>0</v>
      </c>
      <c r="I27" s="54">
        <f t="shared" si="3"/>
        <v>0</v>
      </c>
      <c r="J27" s="54">
        <f>IF(ISBLANK('Γκρουπ Δ'!$G20),0,IF(ISBLANK('Γκρουπ Δ'!$I20),0,1))</f>
        <v>0</v>
      </c>
      <c r="L27" s="54" t="str">
        <f>Ομάδες!D20</f>
        <v>Ιταλία</v>
      </c>
      <c r="M27">
        <f>J25+A27+A28</f>
        <v>0</v>
      </c>
      <c r="N27">
        <f>H25+C27+C28</f>
        <v>0</v>
      </c>
      <c r="O27">
        <f>I25+B27+B28</f>
        <v>0</v>
      </c>
      <c r="P27">
        <f t="shared" si="7"/>
        <v>0</v>
      </c>
      <c r="Q27">
        <f>G25+E27+E28</f>
        <v>0</v>
      </c>
      <c r="R27">
        <f>E25+G27+G28</f>
        <v>0</v>
      </c>
    </row>
    <row r="28" spans="1:18" x14ac:dyDescent="0.2">
      <c r="A28" s="54">
        <f>IF(ISBLANK('Γκρουπ Δ'!$G21),0,IF(ISBLANK('Γκρουπ Δ'!$I21),0,1))</f>
        <v>0</v>
      </c>
      <c r="B28" s="54">
        <f t="shared" si="0"/>
        <v>0</v>
      </c>
      <c r="C28" s="54">
        <f t="shared" si="1"/>
        <v>0</v>
      </c>
      <c r="D28" s="54" t="str">
        <f>Ομάδες!$D$20</f>
        <v>Ιταλία</v>
      </c>
      <c r="E28" s="54">
        <f>'Γκρουπ Δ'!G21</f>
        <v>0</v>
      </c>
      <c r="F28" s="54" t="str">
        <f>Ομάδες!$D$17</f>
        <v>Ουρουγουάη</v>
      </c>
      <c r="G28" s="54">
        <f>'Γκρουπ Δ'!I21</f>
        <v>0</v>
      </c>
      <c r="H28" s="54">
        <f t="shared" si="2"/>
        <v>0</v>
      </c>
      <c r="I28" s="54">
        <f t="shared" si="3"/>
        <v>0</v>
      </c>
      <c r="J28" s="54">
        <f>IF(ISBLANK('Γκρουπ Δ'!$G21),0,IF(ISBLANK('Γκρουπ Δ'!$I21),0,1))</f>
        <v>0</v>
      </c>
    </row>
    <row r="29" spans="1:18" x14ac:dyDescent="0.2">
      <c r="A29" s="54">
        <f>IF(ISBLANK('Γκρουπ Δ'!$G22),0,IF(ISBLANK('Γκρουπ Δ'!$I22),0,1))</f>
        <v>0</v>
      </c>
      <c r="B29" s="54">
        <f t="shared" si="0"/>
        <v>0</v>
      </c>
      <c r="C29" s="54">
        <f t="shared" si="1"/>
        <v>0</v>
      </c>
      <c r="D29" s="54" t="str">
        <f>Ομάδες!$D$18</f>
        <v>Κόστα Ρίκα</v>
      </c>
      <c r="E29" s="54">
        <f>'Γκρουπ Δ'!G22</f>
        <v>0</v>
      </c>
      <c r="F29" s="54" t="str">
        <f>Ομάδες!$D$19</f>
        <v>Αγγλία</v>
      </c>
      <c r="G29" s="54">
        <f>'Γκρουπ Δ'!I22</f>
        <v>0</v>
      </c>
      <c r="H29" s="54">
        <f t="shared" si="2"/>
        <v>0</v>
      </c>
      <c r="I29" s="54">
        <f t="shared" si="3"/>
        <v>0</v>
      </c>
      <c r="J29" s="54">
        <f>IF(ISBLANK('Γκρουπ Δ'!$G22),0,IF(ISBLANK('Γκρουπ Δ'!$I22),0,1))</f>
        <v>0</v>
      </c>
    </row>
    <row r="30" spans="1:18" x14ac:dyDescent="0.2">
      <c r="A30" s="54"/>
      <c r="B30" s="54"/>
      <c r="C30" s="54"/>
      <c r="D30" s="112" t="s">
        <v>7</v>
      </c>
      <c r="E30" s="112"/>
      <c r="F30" s="112"/>
      <c r="G30" s="112"/>
      <c r="H30" s="54"/>
      <c r="I30" s="54"/>
      <c r="J30" s="54"/>
      <c r="M30" s="67" t="s">
        <v>2</v>
      </c>
      <c r="N30" s="67" t="s">
        <v>87</v>
      </c>
      <c r="O30" s="67" t="s">
        <v>88</v>
      </c>
      <c r="P30" s="67" t="s">
        <v>89</v>
      </c>
      <c r="Q30" s="67" t="s">
        <v>25</v>
      </c>
      <c r="R30" s="67" t="s">
        <v>26</v>
      </c>
    </row>
    <row r="31" spans="1:18" x14ac:dyDescent="0.2">
      <c r="A31" s="54">
        <f>IF(ISBLANK('Γκρουπ Ε'!$G17),0,IF(ISBLANK('Γκρουπ Ε'!$I17),0,1))</f>
        <v>0</v>
      </c>
      <c r="B31" s="54">
        <f t="shared" si="0"/>
        <v>0</v>
      </c>
      <c r="C31" s="54">
        <f t="shared" si="1"/>
        <v>0</v>
      </c>
      <c r="D31" s="55" t="str">
        <f>Ομάδες!$G$2</f>
        <v>Ελβετία</v>
      </c>
      <c r="E31" s="54">
        <f>'Γκρουπ Ε'!G17</f>
        <v>0</v>
      </c>
      <c r="F31" s="54" t="str">
        <f>Ομάδες!$G$3</f>
        <v>Εκουαδόρ</v>
      </c>
      <c r="G31" s="54">
        <f>'Γκρουπ Ε'!I17</f>
        <v>0</v>
      </c>
      <c r="H31" s="54">
        <f t="shared" si="2"/>
        <v>0</v>
      </c>
      <c r="I31" s="54">
        <f t="shared" si="3"/>
        <v>0</v>
      </c>
      <c r="J31" s="54">
        <f>IF(ISBLANK('Γκρουπ Ε'!$G17),0,IF(ISBLANK('Γκρουπ Ε'!$I17),0,1))</f>
        <v>0</v>
      </c>
      <c r="L31" s="55" t="str">
        <f>Ομάδες!G2</f>
        <v>Ελβετία</v>
      </c>
      <c r="M31">
        <f>A31+A33+J35</f>
        <v>0</v>
      </c>
      <c r="N31">
        <f>C31+C33+H35</f>
        <v>0</v>
      </c>
      <c r="O31">
        <f>B31+B33+I35</f>
        <v>0</v>
      </c>
      <c r="P31">
        <f>M31-(N31+O31)</f>
        <v>0</v>
      </c>
      <c r="Q31">
        <f>E31+E33+G35</f>
        <v>0</v>
      </c>
      <c r="R31">
        <f>G31+G33+E35</f>
        <v>0</v>
      </c>
    </row>
    <row r="32" spans="1:18" x14ac:dyDescent="0.2">
      <c r="A32" s="54">
        <f>IF(ISBLANK('Γκρουπ Ε'!$G18),0,IF(ISBLANK('Γκρουπ Ε'!$I18),0,1))</f>
        <v>0</v>
      </c>
      <c r="B32" s="54">
        <f t="shared" si="0"/>
        <v>0</v>
      </c>
      <c r="C32" s="54">
        <f t="shared" si="1"/>
        <v>0</v>
      </c>
      <c r="D32" s="54" t="str">
        <f>Ομάδες!$G$4</f>
        <v>Γαλλία</v>
      </c>
      <c r="E32" s="54">
        <f>'Γκρουπ Ε'!G18</f>
        <v>0</v>
      </c>
      <c r="F32" s="54" t="str">
        <f>Ομάδες!$G$5</f>
        <v>Ονδούρα</v>
      </c>
      <c r="G32" s="54">
        <f>'Γκρουπ Ε'!I18</f>
        <v>0</v>
      </c>
      <c r="H32" s="54">
        <f t="shared" si="2"/>
        <v>0</v>
      </c>
      <c r="I32" s="54">
        <f t="shared" si="3"/>
        <v>0</v>
      </c>
      <c r="J32" s="54">
        <f>IF(ISBLANK('Γκρουπ Ε'!$G18),0,IF(ISBLANK('Γκρουπ Ε'!$I18),0,1))</f>
        <v>0</v>
      </c>
      <c r="L32" s="55" t="str">
        <f>Ομάδες!G3</f>
        <v>Εκουαδόρ</v>
      </c>
      <c r="M32">
        <f>J31+J34+A36</f>
        <v>0</v>
      </c>
      <c r="N32">
        <f>H31+H34+C36</f>
        <v>0</v>
      </c>
      <c r="O32">
        <f>I31+I34+B36</f>
        <v>0</v>
      </c>
      <c r="P32">
        <f t="shared" ref="P32:P34" si="8">M32-(N32+O32)</f>
        <v>0</v>
      </c>
      <c r="Q32">
        <f>G31+G34+E36</f>
        <v>0</v>
      </c>
      <c r="R32">
        <f>E31+E34+G36</f>
        <v>0</v>
      </c>
    </row>
    <row r="33" spans="1:18" x14ac:dyDescent="0.2">
      <c r="A33" s="54">
        <f>IF(ISBLANK('Γκρουπ Ε'!$G19),0,IF(ISBLANK('Γκρουπ Ε'!$I19),0,1))</f>
        <v>0</v>
      </c>
      <c r="B33" s="54">
        <f t="shared" si="0"/>
        <v>0</v>
      </c>
      <c r="C33" s="54">
        <f t="shared" si="1"/>
        <v>0</v>
      </c>
      <c r="D33" s="54" t="str">
        <f>Ομάδες!$G$2</f>
        <v>Ελβετία</v>
      </c>
      <c r="E33" s="54">
        <f>'Γκρουπ Ε'!G19</f>
        <v>0</v>
      </c>
      <c r="F33" s="54" t="str">
        <f>Ομάδες!$G$4</f>
        <v>Γαλλία</v>
      </c>
      <c r="G33" s="54">
        <f>'Γκρουπ Ε'!I19</f>
        <v>0</v>
      </c>
      <c r="H33" s="54">
        <f t="shared" si="2"/>
        <v>0</v>
      </c>
      <c r="I33" s="54">
        <f t="shared" si="3"/>
        <v>0</v>
      </c>
      <c r="J33" s="54">
        <f>IF(ISBLANK('Γκρουπ Ε'!$G19),0,IF(ISBLANK('Γκρουπ Ε'!$I19),0,1))</f>
        <v>0</v>
      </c>
      <c r="L33" s="55" t="str">
        <f>Ομάδες!G4</f>
        <v>Γαλλία</v>
      </c>
      <c r="M33">
        <f>A32+J33+J36</f>
        <v>0</v>
      </c>
      <c r="N33">
        <f>C32+H33+H36</f>
        <v>0</v>
      </c>
      <c r="O33">
        <f>B32+I33+I36</f>
        <v>0</v>
      </c>
      <c r="P33">
        <f t="shared" si="8"/>
        <v>0</v>
      </c>
      <c r="Q33">
        <f>E32+G33+G36</f>
        <v>0</v>
      </c>
      <c r="R33">
        <f>G32+E33+E36</f>
        <v>0</v>
      </c>
    </row>
    <row r="34" spans="1:18" x14ac:dyDescent="0.2">
      <c r="A34" s="54">
        <f>IF(ISBLANK('Γκρουπ Ε'!$G20),0,IF(ISBLANK('Γκρουπ Ε'!$I20),0,1))</f>
        <v>0</v>
      </c>
      <c r="B34" s="54">
        <f t="shared" si="0"/>
        <v>0</v>
      </c>
      <c r="C34" s="54">
        <f t="shared" si="1"/>
        <v>0</v>
      </c>
      <c r="D34" s="54" t="str">
        <f>Ομάδες!$G$5</f>
        <v>Ονδούρα</v>
      </c>
      <c r="E34" s="54">
        <f>'Γκρουπ Ε'!G20</f>
        <v>0</v>
      </c>
      <c r="F34" s="54" t="str">
        <f>Ομάδες!$G$3</f>
        <v>Εκουαδόρ</v>
      </c>
      <c r="G34" s="54">
        <f>'Γκρουπ Ε'!I20</f>
        <v>0</v>
      </c>
      <c r="H34" s="54">
        <f t="shared" si="2"/>
        <v>0</v>
      </c>
      <c r="I34" s="54">
        <f t="shared" si="3"/>
        <v>0</v>
      </c>
      <c r="J34" s="54">
        <f>IF(ISBLANK('Γκρουπ Ε'!$G20),0,IF(ISBLANK('Γκρουπ Ε'!$I20),0,1))</f>
        <v>0</v>
      </c>
      <c r="L34" s="55" t="str">
        <f>Ομάδες!G5</f>
        <v>Ονδούρα</v>
      </c>
      <c r="M34">
        <f>J32+A34+A35</f>
        <v>0</v>
      </c>
      <c r="N34">
        <f>H32+C34+C35</f>
        <v>0</v>
      </c>
      <c r="O34">
        <f>I32+B34+B35</f>
        <v>0</v>
      </c>
      <c r="P34">
        <f t="shared" si="8"/>
        <v>0</v>
      </c>
      <c r="Q34">
        <f>G32+E34+E35</f>
        <v>0</v>
      </c>
      <c r="R34">
        <f>E32+G34+G35</f>
        <v>0</v>
      </c>
    </row>
    <row r="35" spans="1:18" x14ac:dyDescent="0.2">
      <c r="A35" s="54">
        <f>IF(ISBLANK('Γκρουπ Ε'!$G21),0,IF(ISBLANK('Γκρουπ Ε'!$I21),0,1))</f>
        <v>0</v>
      </c>
      <c r="B35" s="54">
        <f t="shared" si="0"/>
        <v>0</v>
      </c>
      <c r="C35" s="54">
        <f t="shared" si="1"/>
        <v>0</v>
      </c>
      <c r="D35" s="54" t="str">
        <f>Ομάδες!$G$5</f>
        <v>Ονδούρα</v>
      </c>
      <c r="E35" s="54">
        <f>'Γκρουπ Ε'!G21</f>
        <v>0</v>
      </c>
      <c r="F35" s="54" t="str">
        <f>Ομάδες!$G$2</f>
        <v>Ελβετία</v>
      </c>
      <c r="G35" s="54">
        <f>'Γκρουπ Ε'!I21</f>
        <v>0</v>
      </c>
      <c r="H35" s="54">
        <f t="shared" si="2"/>
        <v>0</v>
      </c>
      <c r="I35" s="54">
        <f t="shared" si="3"/>
        <v>0</v>
      </c>
      <c r="J35" s="54">
        <f>IF(ISBLANK('Γκρουπ Ε'!$G21),0,IF(ISBLANK('Γκρουπ Ε'!$I21),0,1))</f>
        <v>0</v>
      </c>
    </row>
    <row r="36" spans="1:18" x14ac:dyDescent="0.2">
      <c r="A36" s="54">
        <f>IF(ISBLANK('Γκρουπ Ε'!$G22),0,IF(ISBLANK('Γκρουπ Ε'!$I22),0,1))</f>
        <v>0</v>
      </c>
      <c r="B36" s="54">
        <f t="shared" si="0"/>
        <v>0</v>
      </c>
      <c r="C36" s="54">
        <f t="shared" si="1"/>
        <v>0</v>
      </c>
      <c r="D36" s="54" t="str">
        <f>Ομάδες!$G$3</f>
        <v>Εκουαδόρ</v>
      </c>
      <c r="E36" s="54">
        <f>'Γκρουπ Ε'!G22</f>
        <v>0</v>
      </c>
      <c r="F36" s="54" t="str">
        <f>Ομάδες!$G$4</f>
        <v>Γαλλία</v>
      </c>
      <c r="G36" s="54">
        <f>'Γκρουπ Ε'!I22</f>
        <v>0</v>
      </c>
      <c r="H36" s="54">
        <f t="shared" si="2"/>
        <v>0</v>
      </c>
      <c r="I36" s="54">
        <f t="shared" si="3"/>
        <v>0</v>
      </c>
      <c r="J36" s="54">
        <f>IF(ISBLANK('Γκρουπ Ε'!$G22),0,IF(ISBLANK('Γκρουπ Ε'!$I22),0,1))</f>
        <v>0</v>
      </c>
    </row>
    <row r="37" spans="1:18" x14ac:dyDescent="0.2">
      <c r="A37" s="54"/>
      <c r="B37" s="54"/>
      <c r="C37" s="54"/>
      <c r="D37" s="112" t="s">
        <v>8</v>
      </c>
      <c r="E37" s="112"/>
      <c r="F37" s="112"/>
      <c r="G37" s="112"/>
      <c r="H37" s="54"/>
      <c r="I37" s="54"/>
      <c r="J37" s="54"/>
      <c r="M37" s="67" t="s">
        <v>2</v>
      </c>
      <c r="N37" s="67" t="s">
        <v>87</v>
      </c>
      <c r="O37" s="67" t="s">
        <v>88</v>
      </c>
      <c r="P37" s="67" t="s">
        <v>89</v>
      </c>
      <c r="Q37" s="67" t="s">
        <v>25</v>
      </c>
      <c r="R37" s="67" t="s">
        <v>26</v>
      </c>
    </row>
    <row r="38" spans="1:18" x14ac:dyDescent="0.2">
      <c r="A38" s="54">
        <f>IF(ISBLANK('Γκρουπ ΣΤ'!$G17),0,IF(ISBLANK('Γκρουπ ΣΤ'!$I17),0,1))</f>
        <v>0</v>
      </c>
      <c r="B38" s="54">
        <f t="shared" si="0"/>
        <v>0</v>
      </c>
      <c r="C38" s="54">
        <f t="shared" si="1"/>
        <v>0</v>
      </c>
      <c r="D38" s="54" t="str">
        <f>Ομάδες!$G$7</f>
        <v>Αργεντινή</v>
      </c>
      <c r="E38" s="54">
        <f>'Γκρουπ ΣΤ'!G17</f>
        <v>0</v>
      </c>
      <c r="F38" s="54" t="str">
        <f>Ομάδες!$G$8</f>
        <v>Βοσνία-Ερζεγοβίνη</v>
      </c>
      <c r="G38" s="54">
        <f>'Γκρουπ ΣΤ'!I17</f>
        <v>0</v>
      </c>
      <c r="H38" s="54">
        <f t="shared" si="2"/>
        <v>0</v>
      </c>
      <c r="I38" s="54">
        <f t="shared" si="3"/>
        <v>0</v>
      </c>
      <c r="J38" s="54">
        <f>IF(ISBLANK('Γκρουπ ΣΤ'!$G17),0,IF(ISBLANK('Γκρουπ ΣΤ'!$I17),0,1))</f>
        <v>0</v>
      </c>
      <c r="L38" s="54" t="str">
        <f>Ομάδες!G7</f>
        <v>Αργεντινή</v>
      </c>
      <c r="M38">
        <f>A38+A40+J42</f>
        <v>0</v>
      </c>
      <c r="N38">
        <f>C38+C40+H42</f>
        <v>0</v>
      </c>
      <c r="O38">
        <f>B38+B40+I42</f>
        <v>0</v>
      </c>
      <c r="P38">
        <f>M38-(N38+O38)</f>
        <v>0</v>
      </c>
      <c r="Q38">
        <f>E38+E40+G42</f>
        <v>0</v>
      </c>
      <c r="R38">
        <f>G38+G40+E42</f>
        <v>0</v>
      </c>
    </row>
    <row r="39" spans="1:18" x14ac:dyDescent="0.2">
      <c r="A39" s="54">
        <f>IF(ISBLANK('Γκρουπ ΣΤ'!$G18),0,IF(ISBLANK('Γκρουπ ΣΤ'!$I18),0,1))</f>
        <v>0</v>
      </c>
      <c r="B39" s="54">
        <f t="shared" si="0"/>
        <v>0</v>
      </c>
      <c r="C39" s="54">
        <f t="shared" si="1"/>
        <v>0</v>
      </c>
      <c r="D39" s="54" t="str">
        <f>Ομάδες!$G$9</f>
        <v>Ιράν</v>
      </c>
      <c r="E39" s="54">
        <f>'Γκρουπ ΣΤ'!G18</f>
        <v>0</v>
      </c>
      <c r="F39" s="54" t="str">
        <f>Ομάδες!$G$10</f>
        <v>Νιγηρία</v>
      </c>
      <c r="G39" s="54">
        <f>'Γκρουπ ΣΤ'!I18</f>
        <v>0</v>
      </c>
      <c r="H39" s="54">
        <f t="shared" si="2"/>
        <v>0</v>
      </c>
      <c r="I39" s="54">
        <f t="shared" si="3"/>
        <v>0</v>
      </c>
      <c r="J39" s="54">
        <f>IF(ISBLANK('Γκρουπ ΣΤ'!$G18),0,IF(ISBLANK('Γκρουπ ΣΤ'!$I18),0,1))</f>
        <v>0</v>
      </c>
      <c r="L39" s="54" t="str">
        <f>Ομάδες!G8</f>
        <v>Βοσνία-Ερζεγοβίνη</v>
      </c>
      <c r="M39">
        <f>J38+J41+A43</f>
        <v>0</v>
      </c>
      <c r="N39">
        <f>H38+H41+C43</f>
        <v>0</v>
      </c>
      <c r="O39">
        <f>I38+I41+B43</f>
        <v>0</v>
      </c>
      <c r="P39">
        <f t="shared" ref="P39:P41" si="9">M39-(N39+O39)</f>
        <v>0</v>
      </c>
      <c r="Q39">
        <f>G38+G41+E43</f>
        <v>0</v>
      </c>
      <c r="R39">
        <f>E38+E41+G43</f>
        <v>0</v>
      </c>
    </row>
    <row r="40" spans="1:18" x14ac:dyDescent="0.2">
      <c r="A40" s="54">
        <f>IF(ISBLANK('Γκρουπ ΣΤ'!$G19),0,IF(ISBLANK('Γκρουπ ΣΤ'!$I19),0,1))</f>
        <v>0</v>
      </c>
      <c r="B40" s="54">
        <f t="shared" si="0"/>
        <v>0</v>
      </c>
      <c r="C40" s="54">
        <f t="shared" si="1"/>
        <v>0</v>
      </c>
      <c r="D40" s="54" t="str">
        <f>Ομάδες!$G$7</f>
        <v>Αργεντινή</v>
      </c>
      <c r="E40" s="54">
        <f>'Γκρουπ ΣΤ'!G19</f>
        <v>0</v>
      </c>
      <c r="F40" s="54" t="str">
        <f>Ομάδες!$G$9</f>
        <v>Ιράν</v>
      </c>
      <c r="G40" s="54">
        <f>'Γκρουπ ΣΤ'!I19</f>
        <v>0</v>
      </c>
      <c r="H40" s="54">
        <f t="shared" si="2"/>
        <v>0</v>
      </c>
      <c r="I40" s="54">
        <f t="shared" si="3"/>
        <v>0</v>
      </c>
      <c r="J40" s="54">
        <f>IF(ISBLANK('Γκρουπ ΣΤ'!$G19),0,IF(ISBLANK('Γκρουπ ΣΤ'!$I19),0,1))</f>
        <v>0</v>
      </c>
      <c r="L40" s="54" t="str">
        <f>Ομάδες!G9</f>
        <v>Ιράν</v>
      </c>
      <c r="M40">
        <f>A39+J40+J43</f>
        <v>0</v>
      </c>
      <c r="N40">
        <f>C39+H40+H43</f>
        <v>0</v>
      </c>
      <c r="O40">
        <f>B39+I40+I43</f>
        <v>0</v>
      </c>
      <c r="P40">
        <f t="shared" si="9"/>
        <v>0</v>
      </c>
      <c r="Q40">
        <f>E39+G40+G43</f>
        <v>0</v>
      </c>
      <c r="R40">
        <f>G39+E40+E43</f>
        <v>0</v>
      </c>
    </row>
    <row r="41" spans="1:18" x14ac:dyDescent="0.2">
      <c r="A41" s="54">
        <f>IF(ISBLANK('Γκρουπ ΣΤ'!$G20),0,IF(ISBLANK('Γκρουπ ΣΤ'!$I20),0,1))</f>
        <v>0</v>
      </c>
      <c r="B41" s="54">
        <f t="shared" si="0"/>
        <v>0</v>
      </c>
      <c r="C41" s="54">
        <f t="shared" si="1"/>
        <v>0</v>
      </c>
      <c r="D41" s="54" t="str">
        <f>Ομάδες!$G$10</f>
        <v>Νιγηρία</v>
      </c>
      <c r="E41" s="54">
        <f>'Γκρουπ ΣΤ'!G20</f>
        <v>0</v>
      </c>
      <c r="F41" s="54" t="str">
        <f>Ομάδες!$G$8</f>
        <v>Βοσνία-Ερζεγοβίνη</v>
      </c>
      <c r="G41" s="54">
        <f>'Γκρουπ ΣΤ'!I20</f>
        <v>0</v>
      </c>
      <c r="H41" s="54">
        <f t="shared" si="2"/>
        <v>0</v>
      </c>
      <c r="I41" s="54">
        <f t="shared" si="3"/>
        <v>0</v>
      </c>
      <c r="J41" s="54">
        <f>IF(ISBLANK('Γκρουπ ΣΤ'!$G20),0,IF(ISBLANK('Γκρουπ ΣΤ'!$I20),0,1))</f>
        <v>0</v>
      </c>
      <c r="L41" s="54" t="str">
        <f>Ομάδες!G10</f>
        <v>Νιγηρία</v>
      </c>
      <c r="M41">
        <f>J39+A41+A42</f>
        <v>0</v>
      </c>
      <c r="N41">
        <f>H39+C41+C42</f>
        <v>0</v>
      </c>
      <c r="O41">
        <f>I39+B41+B42</f>
        <v>0</v>
      </c>
      <c r="P41">
        <f t="shared" si="9"/>
        <v>0</v>
      </c>
      <c r="Q41">
        <f>G39+E41+E42</f>
        <v>0</v>
      </c>
      <c r="R41">
        <f>E39+G41+G42</f>
        <v>0</v>
      </c>
    </row>
    <row r="42" spans="1:18" x14ac:dyDescent="0.2">
      <c r="A42" s="54">
        <f>IF(ISBLANK('Γκρουπ ΣΤ'!$G21),0,IF(ISBLANK('Γκρουπ ΣΤ'!$I21),0,1))</f>
        <v>0</v>
      </c>
      <c r="B42" s="54">
        <f t="shared" si="0"/>
        <v>0</v>
      </c>
      <c r="C42" s="54">
        <f t="shared" si="1"/>
        <v>0</v>
      </c>
      <c r="D42" s="54" t="str">
        <f>Ομάδες!$G$10</f>
        <v>Νιγηρία</v>
      </c>
      <c r="E42" s="54">
        <f>'Γκρουπ ΣΤ'!G21</f>
        <v>0</v>
      </c>
      <c r="F42" s="54" t="str">
        <f>Ομάδες!$G$7</f>
        <v>Αργεντινή</v>
      </c>
      <c r="G42" s="54">
        <f>'Γκρουπ ΣΤ'!I21</f>
        <v>0</v>
      </c>
      <c r="H42" s="54">
        <f t="shared" si="2"/>
        <v>0</v>
      </c>
      <c r="I42" s="54">
        <f t="shared" si="3"/>
        <v>0</v>
      </c>
      <c r="J42" s="54">
        <f>IF(ISBLANK('Γκρουπ ΣΤ'!$G21),0,IF(ISBLANK('Γκρουπ ΣΤ'!$I21),0,1))</f>
        <v>0</v>
      </c>
    </row>
    <row r="43" spans="1:18" x14ac:dyDescent="0.2">
      <c r="A43" s="54">
        <f>IF(ISBLANK('Γκρουπ ΣΤ'!$G22),0,IF(ISBLANK('Γκρουπ ΣΤ'!$I22),0,1))</f>
        <v>0</v>
      </c>
      <c r="B43" s="54">
        <f t="shared" si="0"/>
        <v>0</v>
      </c>
      <c r="C43" s="54">
        <f t="shared" si="1"/>
        <v>0</v>
      </c>
      <c r="D43" s="54" t="str">
        <f>Ομάδες!$G$8</f>
        <v>Βοσνία-Ερζεγοβίνη</v>
      </c>
      <c r="E43" s="54">
        <f>'Γκρουπ ΣΤ'!G22</f>
        <v>0</v>
      </c>
      <c r="F43" s="54" t="str">
        <f>Ομάδες!$G$9</f>
        <v>Ιράν</v>
      </c>
      <c r="G43" s="54">
        <f>'Γκρουπ ΣΤ'!I22</f>
        <v>0</v>
      </c>
      <c r="H43" s="54">
        <f t="shared" si="2"/>
        <v>0</v>
      </c>
      <c r="I43" s="54">
        <f t="shared" si="3"/>
        <v>0</v>
      </c>
      <c r="J43" s="54">
        <f>IF(ISBLANK('Γκρουπ ΣΤ'!$G22),0,IF(ISBLANK('Γκρουπ ΣΤ'!$I22),0,1))</f>
        <v>0</v>
      </c>
    </row>
    <row r="44" spans="1:18" x14ac:dyDescent="0.2">
      <c r="A44" s="54"/>
      <c r="B44" s="54"/>
      <c r="C44" s="54"/>
      <c r="D44" s="112" t="s">
        <v>9</v>
      </c>
      <c r="E44" s="112"/>
      <c r="F44" s="112"/>
      <c r="G44" s="112"/>
      <c r="H44" s="54"/>
      <c r="I44" s="54"/>
      <c r="J44" s="54"/>
      <c r="M44" s="67" t="s">
        <v>2</v>
      </c>
      <c r="N44" s="67" t="s">
        <v>87</v>
      </c>
      <c r="O44" s="67" t="s">
        <v>88</v>
      </c>
      <c r="P44" s="67" t="s">
        <v>89</v>
      </c>
      <c r="Q44" s="67" t="s">
        <v>25</v>
      </c>
      <c r="R44" s="67" t="s">
        <v>26</v>
      </c>
    </row>
    <row r="45" spans="1:18" x14ac:dyDescent="0.2">
      <c r="A45" s="54">
        <f>IF(ISBLANK('Γκρουπ Ζ'!$G17),0,IF(ISBLANK('Γκρουπ Ζ'!$I17),0,1))</f>
        <v>0</v>
      </c>
      <c r="B45" s="54">
        <f t="shared" si="0"/>
        <v>0</v>
      </c>
      <c r="C45" s="54">
        <f t="shared" si="1"/>
        <v>0</v>
      </c>
      <c r="D45" s="54" t="str">
        <f>Ομάδες!$G$12</f>
        <v>Γερμανία</v>
      </c>
      <c r="E45" s="54">
        <f>'Γκρουπ Ζ'!G17</f>
        <v>0</v>
      </c>
      <c r="F45" s="54" t="str">
        <f>Ομάδες!$G$13</f>
        <v>Πορτογαλία</v>
      </c>
      <c r="G45" s="54">
        <f>'Γκρουπ Ζ'!I17</f>
        <v>0</v>
      </c>
      <c r="H45" s="54">
        <f t="shared" si="2"/>
        <v>0</v>
      </c>
      <c r="I45" s="54">
        <f t="shared" si="3"/>
        <v>0</v>
      </c>
      <c r="J45" s="54">
        <f>IF(ISBLANK('Γκρουπ Ζ'!$G17),0,IF(ISBLANK('Γκρουπ Ζ'!$I17),0,1))</f>
        <v>0</v>
      </c>
      <c r="L45" s="54" t="str">
        <f>Ομάδες!G12</f>
        <v>Γερμανία</v>
      </c>
      <c r="M45">
        <f>A45+A47+J49</f>
        <v>0</v>
      </c>
      <c r="N45">
        <f>C45+C47+H49</f>
        <v>0</v>
      </c>
      <c r="O45">
        <f>B45+B47+I49</f>
        <v>0</v>
      </c>
      <c r="P45">
        <f>M45-(N45+O45)</f>
        <v>0</v>
      </c>
      <c r="Q45">
        <f>E45+E47+G49</f>
        <v>0</v>
      </c>
      <c r="R45">
        <f>G45+G47+E49</f>
        <v>0</v>
      </c>
    </row>
    <row r="46" spans="1:18" x14ac:dyDescent="0.2">
      <c r="A46" s="54">
        <f>IF(ISBLANK('Γκρουπ Ζ'!$G18),0,IF(ISBLANK('Γκρουπ Ζ'!$I18),0,1))</f>
        <v>0</v>
      </c>
      <c r="B46" s="54">
        <f t="shared" si="0"/>
        <v>0</v>
      </c>
      <c r="C46" s="54">
        <f t="shared" si="1"/>
        <v>0</v>
      </c>
      <c r="D46" s="54" t="str">
        <f>Ομάδες!$G$14</f>
        <v>Γκάνα</v>
      </c>
      <c r="E46" s="54">
        <f>'Γκρουπ Ζ'!G18</f>
        <v>0</v>
      </c>
      <c r="F46" s="54" t="str">
        <f>Ομάδες!$G$15</f>
        <v>ΗΠΑ</v>
      </c>
      <c r="G46" s="54">
        <f>'Γκρουπ Ζ'!I18</f>
        <v>0</v>
      </c>
      <c r="H46" s="54">
        <f t="shared" si="2"/>
        <v>0</v>
      </c>
      <c r="I46" s="54">
        <f t="shared" si="3"/>
        <v>0</v>
      </c>
      <c r="J46" s="54">
        <f>IF(ISBLANK('Γκρουπ Ζ'!$G18),0,IF(ISBLANK('Γκρουπ Ζ'!$I18),0,1))</f>
        <v>0</v>
      </c>
      <c r="L46" s="54" t="str">
        <f>Ομάδες!G13</f>
        <v>Πορτογαλία</v>
      </c>
      <c r="M46">
        <f>J45+J48+A50</f>
        <v>0</v>
      </c>
      <c r="N46">
        <f>H45+H48+C50</f>
        <v>0</v>
      </c>
      <c r="O46">
        <f>I45+I48+B50</f>
        <v>0</v>
      </c>
      <c r="P46">
        <f t="shared" ref="P46:P48" si="10">M46-(N46+O46)</f>
        <v>0</v>
      </c>
      <c r="Q46">
        <f>G45+G48+E50</f>
        <v>0</v>
      </c>
      <c r="R46">
        <f>E45+E48+G50</f>
        <v>0</v>
      </c>
    </row>
    <row r="47" spans="1:18" x14ac:dyDescent="0.2">
      <c r="A47" s="54">
        <f>IF(ISBLANK('Γκρουπ Ζ'!$G19),0,IF(ISBLANK('Γκρουπ Ζ'!$I19),0,1))</f>
        <v>0</v>
      </c>
      <c r="B47" s="54">
        <f t="shared" si="0"/>
        <v>0</v>
      </c>
      <c r="C47" s="54">
        <f t="shared" si="1"/>
        <v>0</v>
      </c>
      <c r="D47" s="54" t="str">
        <f>Ομάδες!$G$12</f>
        <v>Γερμανία</v>
      </c>
      <c r="E47" s="54">
        <f>'Γκρουπ Ζ'!G19</f>
        <v>0</v>
      </c>
      <c r="F47" s="54" t="str">
        <f>Ομάδες!$G$14</f>
        <v>Γκάνα</v>
      </c>
      <c r="G47" s="54">
        <f>'Γκρουπ Ζ'!I19</f>
        <v>0</v>
      </c>
      <c r="H47" s="54">
        <f t="shared" si="2"/>
        <v>0</v>
      </c>
      <c r="I47" s="54">
        <f t="shared" si="3"/>
        <v>0</v>
      </c>
      <c r="J47" s="54">
        <f>IF(ISBLANK('Γκρουπ Ζ'!$G19),0,IF(ISBLANK('Γκρουπ Ζ'!$I19),0,1))</f>
        <v>0</v>
      </c>
      <c r="L47" s="54" t="str">
        <f>Ομάδες!G14</f>
        <v>Γκάνα</v>
      </c>
      <c r="M47">
        <f>A46+J47+J50</f>
        <v>0</v>
      </c>
      <c r="N47">
        <f>C46+H47+H50</f>
        <v>0</v>
      </c>
      <c r="O47">
        <f>B46+I47+I50</f>
        <v>0</v>
      </c>
      <c r="P47">
        <f t="shared" si="10"/>
        <v>0</v>
      </c>
      <c r="Q47">
        <f>E46+G47+G50</f>
        <v>0</v>
      </c>
      <c r="R47">
        <f>G46+E47+E50</f>
        <v>0</v>
      </c>
    </row>
    <row r="48" spans="1:18" x14ac:dyDescent="0.2">
      <c r="A48" s="54">
        <f>IF(ISBLANK('Γκρουπ Ζ'!$G20),0,IF(ISBLANK('Γκρουπ Ζ'!$I20),0,1))</f>
        <v>0</v>
      </c>
      <c r="B48" s="54">
        <f t="shared" si="0"/>
        <v>0</v>
      </c>
      <c r="C48" s="54">
        <f t="shared" si="1"/>
        <v>0</v>
      </c>
      <c r="D48" s="54" t="str">
        <f>Ομάδες!$G$15</f>
        <v>ΗΠΑ</v>
      </c>
      <c r="E48" s="54">
        <f>'Γκρουπ Ζ'!G20</f>
        <v>0</v>
      </c>
      <c r="F48" s="54" t="str">
        <f>Ομάδες!$G$13</f>
        <v>Πορτογαλία</v>
      </c>
      <c r="G48" s="54">
        <f>'Γκρουπ Ζ'!I20</f>
        <v>0</v>
      </c>
      <c r="H48" s="54">
        <f t="shared" si="2"/>
        <v>0</v>
      </c>
      <c r="I48" s="54">
        <f t="shared" si="3"/>
        <v>0</v>
      </c>
      <c r="J48" s="54">
        <f>IF(ISBLANK('Γκρουπ Ζ'!$G20),0,IF(ISBLANK('Γκρουπ Ζ'!$I20),0,1))</f>
        <v>0</v>
      </c>
      <c r="L48" s="54" t="str">
        <f>Ομάδες!G15</f>
        <v>ΗΠΑ</v>
      </c>
      <c r="M48">
        <f>J46+A48+A49</f>
        <v>0</v>
      </c>
      <c r="N48">
        <f>H46+C48+C49</f>
        <v>0</v>
      </c>
      <c r="O48">
        <f>I46+B48+B49</f>
        <v>0</v>
      </c>
      <c r="P48">
        <f t="shared" si="10"/>
        <v>0</v>
      </c>
      <c r="Q48">
        <f>G46+E48+E49</f>
        <v>0</v>
      </c>
      <c r="R48">
        <f>E46+G48+G49</f>
        <v>0</v>
      </c>
    </row>
    <row r="49" spans="1:18" x14ac:dyDescent="0.2">
      <c r="A49" s="54">
        <f>IF(ISBLANK('Γκρουπ Ζ'!$G21),0,IF(ISBLANK('Γκρουπ Ζ'!$I21),0,1))</f>
        <v>0</v>
      </c>
      <c r="B49" s="54">
        <f t="shared" si="0"/>
        <v>0</v>
      </c>
      <c r="C49" s="54">
        <f t="shared" si="1"/>
        <v>0</v>
      </c>
      <c r="D49" s="54" t="str">
        <f>Ομάδες!$G$15</f>
        <v>ΗΠΑ</v>
      </c>
      <c r="E49" s="54">
        <f>'Γκρουπ Ζ'!G21</f>
        <v>0</v>
      </c>
      <c r="F49" s="54" t="str">
        <f>Ομάδες!$G$12</f>
        <v>Γερμανία</v>
      </c>
      <c r="G49" s="54">
        <f>'Γκρουπ Ζ'!I21</f>
        <v>0</v>
      </c>
      <c r="H49" s="54">
        <f t="shared" si="2"/>
        <v>0</v>
      </c>
      <c r="I49" s="54">
        <f t="shared" si="3"/>
        <v>0</v>
      </c>
      <c r="J49" s="54">
        <f>IF(ISBLANK('Γκρουπ Ζ'!$G21),0,IF(ISBLANK('Γκρουπ Ζ'!$I21),0,1))</f>
        <v>0</v>
      </c>
    </row>
    <row r="50" spans="1:18" x14ac:dyDescent="0.2">
      <c r="A50" s="54">
        <f>IF(ISBLANK('Γκρουπ Ζ'!$G22),0,IF(ISBLANK('Γκρουπ Ζ'!$I22),0,1))</f>
        <v>0</v>
      </c>
      <c r="B50" s="54">
        <f t="shared" si="0"/>
        <v>0</v>
      </c>
      <c r="C50" s="54">
        <f t="shared" si="1"/>
        <v>0</v>
      </c>
      <c r="D50" s="54" t="str">
        <f>Ομάδες!$G$13</f>
        <v>Πορτογαλία</v>
      </c>
      <c r="E50" s="54">
        <f>'Γκρουπ Ζ'!G22</f>
        <v>0</v>
      </c>
      <c r="F50" s="54" t="str">
        <f>Ομάδες!$G$14</f>
        <v>Γκάνα</v>
      </c>
      <c r="G50" s="54">
        <f>'Γκρουπ Ζ'!I22</f>
        <v>0</v>
      </c>
      <c r="H50" s="54">
        <f t="shared" si="2"/>
        <v>0</v>
      </c>
      <c r="I50" s="54">
        <f t="shared" si="3"/>
        <v>0</v>
      </c>
      <c r="J50" s="54">
        <f>IF(ISBLANK('Γκρουπ Ζ'!$G22),0,IF(ISBLANK('Γκρουπ Ζ'!$I22),0,1))</f>
        <v>0</v>
      </c>
    </row>
    <row r="51" spans="1:18" x14ac:dyDescent="0.2">
      <c r="A51" s="54"/>
      <c r="B51" s="54"/>
      <c r="C51" s="54"/>
      <c r="D51" s="112" t="s">
        <v>10</v>
      </c>
      <c r="E51" s="112"/>
      <c r="F51" s="112"/>
      <c r="G51" s="112"/>
      <c r="H51" s="54"/>
      <c r="I51" s="54"/>
      <c r="J51" s="54"/>
      <c r="M51" s="67" t="s">
        <v>2</v>
      </c>
      <c r="N51" s="67" t="s">
        <v>87</v>
      </c>
      <c r="O51" s="67" t="s">
        <v>88</v>
      </c>
      <c r="P51" s="67" t="s">
        <v>89</v>
      </c>
      <c r="Q51" s="67" t="s">
        <v>25</v>
      </c>
      <c r="R51" s="67" t="s">
        <v>26</v>
      </c>
    </row>
    <row r="52" spans="1:18" x14ac:dyDescent="0.2">
      <c r="A52" s="54">
        <f>IF(ISBLANK('Γκρουπ Η'!$G17),0,IF(ISBLANK('Γκρουπ Η'!$I17),0,1))</f>
        <v>0</v>
      </c>
      <c r="B52" s="54">
        <f t="shared" si="0"/>
        <v>0</v>
      </c>
      <c r="C52" s="54">
        <f t="shared" si="1"/>
        <v>0</v>
      </c>
      <c r="D52" s="54" t="str">
        <f>Ομάδες!$G$17</f>
        <v>Βέλγιο</v>
      </c>
      <c r="E52" s="54">
        <f>'Γκρουπ Η'!G17</f>
        <v>0</v>
      </c>
      <c r="F52" s="54" t="str">
        <f>Ομάδες!$G$18</f>
        <v>Αλγερία</v>
      </c>
      <c r="G52" s="54">
        <f>'Γκρουπ Η'!I17</f>
        <v>0</v>
      </c>
      <c r="H52" s="54">
        <f t="shared" si="2"/>
        <v>0</v>
      </c>
      <c r="I52" s="54">
        <f t="shared" si="3"/>
        <v>0</v>
      </c>
      <c r="J52" s="54">
        <f>IF(ISBLANK('Γκρουπ Η'!$G17),0,IF(ISBLANK('Γκρουπ Η'!$I17),0,1))</f>
        <v>0</v>
      </c>
      <c r="L52" s="54" t="str">
        <f>Ομάδες!G17</f>
        <v>Βέλγιο</v>
      </c>
      <c r="M52">
        <f>A52+A54+J56</f>
        <v>0</v>
      </c>
      <c r="N52">
        <f>C52+C54+H56</f>
        <v>0</v>
      </c>
      <c r="O52">
        <f>B52+B54+I56</f>
        <v>0</v>
      </c>
      <c r="P52">
        <f>M52-(N52+O52)</f>
        <v>0</v>
      </c>
      <c r="Q52">
        <f>E52+E54+G56</f>
        <v>0</v>
      </c>
      <c r="R52">
        <f>G52+G54+E56</f>
        <v>0</v>
      </c>
    </row>
    <row r="53" spans="1:18" x14ac:dyDescent="0.2">
      <c r="A53" s="54">
        <f>IF(ISBLANK('Γκρουπ Η'!$G18),0,IF(ISBLANK('Γκρουπ Η'!$I18),0,1))</f>
        <v>0</v>
      </c>
      <c r="B53" s="54">
        <f t="shared" si="0"/>
        <v>0</v>
      </c>
      <c r="C53" s="54">
        <f t="shared" si="1"/>
        <v>0</v>
      </c>
      <c r="D53" s="54" t="str">
        <f>Ομάδες!$G$19</f>
        <v>Ρωσία</v>
      </c>
      <c r="E53" s="54">
        <f>'Γκρουπ Η'!G18</f>
        <v>0</v>
      </c>
      <c r="F53" s="54" t="str">
        <f>Ομάδες!$G$20</f>
        <v>Νότια Κορέα</v>
      </c>
      <c r="G53" s="54">
        <f>'Γκρουπ Η'!I18</f>
        <v>0</v>
      </c>
      <c r="H53" s="54">
        <f t="shared" si="2"/>
        <v>0</v>
      </c>
      <c r="I53" s="54">
        <f t="shared" si="3"/>
        <v>0</v>
      </c>
      <c r="J53" s="54">
        <f>IF(ISBLANK('Γκρουπ Η'!$G18),0,IF(ISBLANK('Γκρουπ Η'!$I18),0,1))</f>
        <v>0</v>
      </c>
      <c r="L53" s="54" t="str">
        <f>Ομάδες!G18</f>
        <v>Αλγερία</v>
      </c>
      <c r="M53">
        <f>J52+J55+A57</f>
        <v>0</v>
      </c>
      <c r="N53">
        <f>H52+H55+C57</f>
        <v>0</v>
      </c>
      <c r="O53">
        <f>I52+I55+B57</f>
        <v>0</v>
      </c>
      <c r="P53">
        <f t="shared" ref="P53:P55" si="11">M53-(N53+O53)</f>
        <v>0</v>
      </c>
      <c r="Q53">
        <f>G52+G55+E57</f>
        <v>0</v>
      </c>
      <c r="R53">
        <f>E52+E55+G57</f>
        <v>0</v>
      </c>
    </row>
    <row r="54" spans="1:18" x14ac:dyDescent="0.2">
      <c r="A54" s="54">
        <f>IF(ISBLANK('Γκρουπ Η'!$G19),0,IF(ISBLANK('Γκρουπ Η'!$I19),0,1))</f>
        <v>0</v>
      </c>
      <c r="B54" s="54">
        <f t="shared" si="0"/>
        <v>0</v>
      </c>
      <c r="C54" s="54">
        <f t="shared" si="1"/>
        <v>0</v>
      </c>
      <c r="D54" s="54" t="str">
        <f>Ομάδες!$G$17</f>
        <v>Βέλγιο</v>
      </c>
      <c r="E54" s="54">
        <f>'Γκρουπ Η'!G19</f>
        <v>0</v>
      </c>
      <c r="F54" s="54" t="str">
        <f>Ομάδες!$G$19</f>
        <v>Ρωσία</v>
      </c>
      <c r="G54" s="54">
        <f>'Γκρουπ Η'!I19</f>
        <v>0</v>
      </c>
      <c r="H54" s="54">
        <f t="shared" si="2"/>
        <v>0</v>
      </c>
      <c r="I54" s="54">
        <f t="shared" si="3"/>
        <v>0</v>
      </c>
      <c r="J54" s="54">
        <f>IF(ISBLANK('Γκρουπ Η'!$G19),0,IF(ISBLANK('Γκρουπ Η'!$I19),0,1))</f>
        <v>0</v>
      </c>
      <c r="L54" s="54" t="str">
        <f>Ομάδες!G19</f>
        <v>Ρωσία</v>
      </c>
      <c r="M54">
        <f>A53+J54+J57</f>
        <v>0</v>
      </c>
      <c r="N54">
        <f>C53+H54+H57</f>
        <v>0</v>
      </c>
      <c r="O54">
        <f>B53+I54+I57</f>
        <v>0</v>
      </c>
      <c r="P54">
        <f t="shared" si="11"/>
        <v>0</v>
      </c>
      <c r="Q54">
        <f>E53+G54+G57</f>
        <v>0</v>
      </c>
      <c r="R54">
        <f>G53+E54+E57</f>
        <v>0</v>
      </c>
    </row>
    <row r="55" spans="1:18" x14ac:dyDescent="0.2">
      <c r="A55" s="54">
        <f>IF(ISBLANK('Γκρουπ Η'!$G20),0,IF(ISBLANK('Γκρουπ Η'!$I20),0,1))</f>
        <v>0</v>
      </c>
      <c r="B55" s="54">
        <f t="shared" si="0"/>
        <v>0</v>
      </c>
      <c r="C55" s="54">
        <f t="shared" si="1"/>
        <v>0</v>
      </c>
      <c r="D55" s="54" t="str">
        <f>Ομάδες!$G$20</f>
        <v>Νότια Κορέα</v>
      </c>
      <c r="E55" s="54">
        <f>'Γκρουπ Η'!G20</f>
        <v>0</v>
      </c>
      <c r="F55" s="54" t="str">
        <f>Ομάδες!$G$18</f>
        <v>Αλγερία</v>
      </c>
      <c r="G55" s="54">
        <f>'Γκρουπ Η'!I20</f>
        <v>0</v>
      </c>
      <c r="H55" s="54">
        <f t="shared" si="2"/>
        <v>0</v>
      </c>
      <c r="I55" s="54">
        <f t="shared" si="3"/>
        <v>0</v>
      </c>
      <c r="J55" s="54">
        <f>IF(ISBLANK('Γκρουπ Η'!$G20),0,IF(ISBLANK('Γκρουπ Η'!$I20),0,1))</f>
        <v>0</v>
      </c>
      <c r="L55" s="54" t="str">
        <f>Ομάδες!G20</f>
        <v>Νότια Κορέα</v>
      </c>
      <c r="M55">
        <f>J53+A55+A56</f>
        <v>0</v>
      </c>
      <c r="N55">
        <f>H53+C55+C56</f>
        <v>0</v>
      </c>
      <c r="O55">
        <f>I53+B55+B56</f>
        <v>0</v>
      </c>
      <c r="P55">
        <f t="shared" si="11"/>
        <v>0</v>
      </c>
      <c r="Q55">
        <f>G53+E55+E56</f>
        <v>0</v>
      </c>
      <c r="R55">
        <f>E53+G55+G56</f>
        <v>0</v>
      </c>
    </row>
    <row r="56" spans="1:18" x14ac:dyDescent="0.2">
      <c r="A56" s="54">
        <f>IF(ISBLANK('Γκρουπ Η'!$G21),0,IF(ISBLANK('Γκρουπ Η'!$I21),0,1))</f>
        <v>0</v>
      </c>
      <c r="B56" s="54">
        <f t="shared" si="0"/>
        <v>0</v>
      </c>
      <c r="C56" s="54">
        <f t="shared" si="1"/>
        <v>0</v>
      </c>
      <c r="D56" s="54" t="str">
        <f>Ομάδες!$G$20</f>
        <v>Νότια Κορέα</v>
      </c>
      <c r="E56" s="54">
        <f>'Γκρουπ Η'!G21</f>
        <v>0</v>
      </c>
      <c r="F56" s="54" t="str">
        <f>Ομάδες!$G$17</f>
        <v>Βέλγιο</v>
      </c>
      <c r="G56" s="54">
        <f>'Γκρουπ Η'!I21</f>
        <v>0</v>
      </c>
      <c r="H56" s="54">
        <f t="shared" si="2"/>
        <v>0</v>
      </c>
      <c r="I56" s="54">
        <f t="shared" si="3"/>
        <v>0</v>
      </c>
      <c r="J56" s="54">
        <f>IF(ISBLANK('Γκρουπ Η'!$G21),0,IF(ISBLANK('Γκρουπ Η'!$I21),0,1))</f>
        <v>0</v>
      </c>
    </row>
    <row r="57" spans="1:18" x14ac:dyDescent="0.2">
      <c r="A57" s="54">
        <f>IF(ISBLANK('Γκρουπ Η'!$G22),0,IF(ISBLANK('Γκρουπ Η'!$I22),0,1))</f>
        <v>0</v>
      </c>
      <c r="B57" s="54">
        <f t="shared" si="0"/>
        <v>0</v>
      </c>
      <c r="C57" s="54">
        <f t="shared" si="1"/>
        <v>0</v>
      </c>
      <c r="D57" s="54" t="str">
        <f>Ομάδες!$G$18</f>
        <v>Αλγερία</v>
      </c>
      <c r="E57" s="54">
        <f>'Γκρουπ Η'!G22</f>
        <v>0</v>
      </c>
      <c r="F57" s="54" t="str">
        <f>Ομάδες!$G$19</f>
        <v>Ρωσία</v>
      </c>
      <c r="G57" s="54">
        <f>'Γκρουπ Η'!I22</f>
        <v>0</v>
      </c>
      <c r="H57" s="54">
        <f t="shared" si="2"/>
        <v>0</v>
      </c>
      <c r="I57" s="54">
        <f t="shared" si="3"/>
        <v>0</v>
      </c>
      <c r="J57" s="54">
        <f>IF(ISBLANK('Γκρουπ Η'!$G22),0,IF(ISBLANK('Γκρουπ Η'!$I22),0,1))</f>
        <v>0</v>
      </c>
    </row>
  </sheetData>
  <sheetProtection selectLockedCells="1" selectUnlockedCells="1"/>
  <customSheetViews>
    <customSheetView guid="{95E402C5-2143-4FCF-AAA0-B9B99670355B}" state="hidden" topLeftCell="A28">
      <selection activeCell="M2" sqref="M2"/>
      <pageMargins left="0.74791666666666667" right="0.74791666666666667" top="0.98402777777777772" bottom="0.98402777777777772" header="0.51180555555555551" footer="0.51180555555555551"/>
      <pageSetup paperSize="9" firstPageNumber="0" orientation="portrait" horizontalDpi="300" verticalDpi="300"/>
      <headerFooter alignWithMargins="0"/>
    </customSheetView>
  </customSheetViews>
  <mergeCells count="9">
    <mergeCell ref="D37:G37"/>
    <mergeCell ref="D44:G44"/>
    <mergeCell ref="D51:G51"/>
    <mergeCell ref="A1:J1"/>
    <mergeCell ref="D2:G2"/>
    <mergeCell ref="D9:G9"/>
    <mergeCell ref="D16:G16"/>
    <mergeCell ref="D23:G23"/>
    <mergeCell ref="D30:G30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Αρχική</vt:lpstr>
      <vt:lpstr>Γκρουπ Α</vt:lpstr>
      <vt:lpstr>Γκρουπ Β</vt:lpstr>
      <vt:lpstr>Γκρουπ Γ</vt:lpstr>
      <vt:lpstr>Γκρουπ Δ</vt:lpstr>
      <vt:lpstr>Γκρουπ Ε</vt:lpstr>
      <vt:lpstr>Γκρουπ ΣΤ</vt:lpstr>
      <vt:lpstr>Γκρουπ Ζ</vt:lpstr>
      <vt:lpstr>Γκρουπ Η</vt:lpstr>
      <vt:lpstr>Πρώτος Γύρος</vt:lpstr>
      <vt:lpstr>Νοκ - Αουτ</vt:lpstr>
      <vt:lpstr>Ομάδες</vt:lpstr>
      <vt:lpstr>Φύλλο1</vt:lpstr>
      <vt:lpstr>Ώρες</vt:lpstr>
      <vt:lpstr>Βοηθητικές θέσεις πίνακα</vt:lpstr>
      <vt:lpstr>paises</vt:lpstr>
      <vt:lpstr>Turno1</vt:lpstr>
      <vt:lpstr>Turno2</vt:lpstr>
      <vt:lpstr>Turno3</vt:lpstr>
      <vt:lpstr>Turno4</vt:lpstr>
      <vt:lpstr>Turno5</vt:lpstr>
      <vt:lpstr>Turno6</vt:lpstr>
      <vt:lpstr>Turno7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IT</cp:lastModifiedBy>
  <dcterms:created xsi:type="dcterms:W3CDTF">2010-06-17T02:38:21Z</dcterms:created>
  <dcterms:modified xsi:type="dcterms:W3CDTF">2014-03-22T16:29:04Z</dcterms:modified>
</cp:coreProperties>
</file>